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vqUA7W0NDe+giw+d2wYdndAAkTcOt11vb+7xKgooJVUEmaMFJy/kMk8n8OcPUcW+UhUf6kwJWcpAINPKY8Q8hA==" workbookSaltValue="rzag+mczCoY3r2JVIxH5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S11" i="17"/>
  <c r="BV20" i="16"/>
  <c r="T14" i="16"/>
  <c r="AZ22" i="11"/>
  <c r="R28" i="14"/>
  <c r="X16" i="17"/>
  <c r="T17" i="11"/>
  <c r="P16" i="17"/>
  <c r="BF12" i="11"/>
  <c r="BH25" i="16"/>
  <c r="BK20" i="1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X32" i="20"/>
  <c r="G23" i="14"/>
  <c r="G30" i="14"/>
  <c r="BF17" i="8" l="1"/>
  <c r="E23" i="12"/>
  <c r="AK31" i="8"/>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V10" i="16"/>
  <c r="BW16" i="20"/>
  <c r="BW17" i="20"/>
  <c r="BU21" i="17"/>
  <c r="BU11"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<sst xmlns="http://schemas.openxmlformats.org/spreadsheetml/2006/main" count="2682" uniqueCount="1193">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</sst>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Eurg8ZDQ7uNdyE2P7tZJlkhAxs7eUWc9fokoLjSnTwhjSvpEPqbuwf6aLFekpp/c92NOy9iKPYPSxj9tX6jrQ==" saltValue="pG39MEa16702cw+l3Gmt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6.3889468196037535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104</v>
      </c>
      <c r="D17" s="239">
        <f>IF(ISNUMBER(IF(D_I="SI",Datos!I17,Datos!I17+Datos!AC17)),IF(D_I="SI",Datos!I17,Datos!I17+Datos!AC17)," - ")</f>
        <v>103</v>
      </c>
      <c r="E17" s="240">
        <f>IF(ISNUMBER(IF(D_I="SI",Datos!J17,Datos!J17+Datos!AD17)),IF(D_I="SI",Datos!J17,Datos!J17+Datos!AD17)," - ")</f>
        <v>505</v>
      </c>
      <c r="F17" s="240">
        <f>IF(ISNUMBER(IF(D_I="SI",Datos!K17,Datos!K17+Datos!AE17)),IF(D_I="SI",Datos!K17,Datos!K17+Datos!AE17)," - ")</f>
        <v>495</v>
      </c>
      <c r="G17" s="1390" t="str">
        <f>IF(Datos!E17&lt;&gt;"",Datos!E17,Datos!D17)</f>
        <v>04</v>
      </c>
      <c r="H17" s="241">
        <f>IF(ISNUMBER(IF(D_I="SI",Datos!L17,Datos!L17+Datos!AF17)),IF(D_I="SI",Datos!L17,Datos!L17+Datos!AF17)," - ")</f>
        <v>114</v>
      </c>
      <c r="I17" s="1400" t="str">
        <f>IF(ISNUMBER(Datos!AS17/Datos!BM17),Datos!AS17/Datos!BM17," - ")</f>
        <v xml:space="preserve"> - </v>
      </c>
      <c r="J17" s="1401">
        <f>IF(ISNUMBER(Datos!BY17/Datos!CN17),Datos!BY17/Datos!CN17," - ")</f>
        <v>0</v>
      </c>
      <c r="K17" s="244">
        <f t="shared" si="3"/>
        <v>9.6153846153846159E-2</v>
      </c>
      <c r="L17" s="1402">
        <f>IF(ISNUMBER(NºAsuntos!I17/NºAsuntos!G17),(NºAsuntos!I17/NºAsuntos!G17)*11," - ")</f>
        <v>2.5333333333333337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33</v>
      </c>
      <c r="F18" s="240">
        <f>IF(ISNUMBER(IF(D_I="SI",Datos!K18,Datos!K18+Datos!AE18)),IF(D_I="SI",Datos!K18,Datos!K18+Datos!AE18)," - ")</f>
        <v>29</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0.5714285714285714</v>
      </c>
      <c r="L18" s="1402">
        <f>IF(ISNUMBER(NºAsuntos!I18/NºAsuntos!G18),(NºAsuntos!I18/NºAsuntos!G18)*11," - ")</f>
        <v>4.1724137931034484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111</v>
      </c>
      <c r="D23" s="1407">
        <f>SUBTOTAL(9,D16:D22)</f>
        <v>110</v>
      </c>
      <c r="E23" s="1408">
        <f>SUBTOTAL(9,E16:E22)</f>
        <v>538</v>
      </c>
      <c r="F23" s="1408">
        <f>SUBTOTAL(9,F16:F22)</f>
        <v>524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v>
      </c>
      <c r="D31" s="1435">
        <f>SUBTOTAL(9,D9:D30)</f>
        <v>110</v>
      </c>
      <c r="E31" s="1436">
        <f>SUBTOTAL(9,E9:E30)</f>
        <v>539</v>
      </c>
      <c r="F31" s="1436">
        <f>SUBTOTAL(9,F9:F30)</f>
        <v>525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m8On0PcTlQef9bW9ul9eQVHyaEUN5WvEYTLHcRAy2RTFMpiI201itJrp368F95dJP6u9VSHmgiMuDb3DTEdCQ==" saltValue="NrQArW/Z41bzeipXtY/X4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1lTqoBuqw2uz63JEPNfnDMkMWPp5vUmfEbYQPsu7Lf+hAe0lVfKVkv0bD/Ihnrofxqm7avrCarNwqR2Z5O3JA==" saltValue="90Rqdbtv7SAFqxH1kvX7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1</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609</v>
      </c>
      <c r="J12" s="196">
        <v>789</v>
      </c>
      <c r="K12" s="196">
        <v>870</v>
      </c>
      <c r="L12" s="196">
        <v>528</v>
      </c>
      <c r="M12" s="196">
        <v>201</v>
      </c>
      <c r="N12" s="196">
        <v>451</v>
      </c>
      <c r="O12" s="194">
        <v>363</v>
      </c>
      <c r="P12" s="196">
        <v>156</v>
      </c>
      <c r="Q12" s="196">
        <v>218</v>
      </c>
      <c r="R12" s="196">
        <v>730</v>
      </c>
      <c r="S12" s="196">
        <v>578</v>
      </c>
      <c r="T12" s="196">
        <v>853</v>
      </c>
      <c r="U12" s="196">
        <v>783</v>
      </c>
      <c r="V12" s="196">
        <v>609</v>
      </c>
      <c r="W12" s="196">
        <v>201</v>
      </c>
      <c r="X12" s="202">
        <v>376</v>
      </c>
      <c r="Y12" s="204">
        <v>30</v>
      </c>
      <c r="Z12" s="194">
        <v>88</v>
      </c>
      <c r="AA12" s="194">
        <v>89</v>
      </c>
      <c r="AB12" s="194">
        <v>29</v>
      </c>
      <c r="AC12" s="196">
        <v>0</v>
      </c>
      <c r="AD12" s="196">
        <v>0</v>
      </c>
      <c r="AE12" s="196">
        <v>0</v>
      </c>
      <c r="AF12" s="202">
        <v>0</v>
      </c>
      <c r="AG12" s="215">
        <v>69</v>
      </c>
      <c r="AH12" s="196">
        <v>123</v>
      </c>
      <c r="AI12" s="196">
        <v>86</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647</v>
      </c>
      <c r="AZ12" s="137">
        <f t="shared" si="1"/>
        <v>976</v>
      </c>
      <c r="BA12" s="137">
        <f t="shared" si="1"/>
        <v>869</v>
      </c>
      <c r="BB12" s="137">
        <f t="shared" si="1"/>
        <v>639</v>
      </c>
      <c r="BC12" s="135">
        <f>IF(ISNUMBER(X12),X12," - ")</f>
        <v>376</v>
      </c>
      <c r="BD12" s="136">
        <f t="shared" si="2"/>
        <v>0.89036885245901642</v>
      </c>
      <c r="BE12" s="137">
        <f t="shared" si="3"/>
        <v>0.73532796317606441</v>
      </c>
      <c r="BF12" s="137">
        <f t="shared" si="4"/>
        <v>0.43268124280782511</v>
      </c>
      <c r="BG12" s="209">
        <f t="shared" si="5"/>
        <v>1.8676639815880323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609</v>
      </c>
      <c r="J14" s="197">
        <f t="shared" si="7"/>
        <v>790</v>
      </c>
      <c r="K14" s="197">
        <f t="shared" si="7"/>
        <v>871</v>
      </c>
      <c r="L14" s="197">
        <f t="shared" si="7"/>
        <v>528</v>
      </c>
      <c r="M14" s="197">
        <f t="shared" si="7"/>
        <v>202</v>
      </c>
      <c r="N14" s="197">
        <f t="shared" si="7"/>
        <v>451</v>
      </c>
      <c r="O14" s="197">
        <f t="shared" si="7"/>
        <v>363</v>
      </c>
      <c r="P14" s="197">
        <f t="shared" si="7"/>
        <v>156</v>
      </c>
      <c r="Q14" s="197">
        <f t="shared" si="7"/>
        <v>218</v>
      </c>
      <c r="R14" s="197">
        <f t="shared" si="7"/>
        <v>730</v>
      </c>
      <c r="S14" s="197">
        <f t="shared" si="7"/>
        <v>578</v>
      </c>
      <c r="T14" s="197">
        <f t="shared" si="7"/>
        <v>853</v>
      </c>
      <c r="U14" s="197">
        <f t="shared" si="7"/>
        <v>783</v>
      </c>
      <c r="V14" s="197">
        <f t="shared" si="7"/>
        <v>609</v>
      </c>
      <c r="W14" s="197">
        <f t="shared" si="7"/>
        <v>201</v>
      </c>
      <c r="X14" s="197">
        <f t="shared" si="7"/>
        <v>376</v>
      </c>
      <c r="Y14" s="197">
        <f t="shared" si="7"/>
        <v>30</v>
      </c>
      <c r="Z14" s="197">
        <f t="shared" si="7"/>
        <v>88</v>
      </c>
      <c r="AA14" s="197">
        <f t="shared" si="7"/>
        <v>89</v>
      </c>
      <c r="AB14" s="197">
        <f t="shared" si="7"/>
        <v>29</v>
      </c>
      <c r="AC14" s="197">
        <f t="shared" si="7"/>
        <v>0</v>
      </c>
      <c r="AD14" s="197">
        <f t="shared" si="7"/>
        <v>0</v>
      </c>
      <c r="AE14" s="197">
        <f t="shared" si="7"/>
        <v>0</v>
      </c>
      <c r="AF14" s="197">
        <f>SUBTOTAL(9,AF9:AF13)</f>
        <v>0</v>
      </c>
      <c r="AG14" s="197">
        <f t="shared" ref="AG14:AT14" si="8">SUBTOTAL(9,AG8:AG13)</f>
        <v>69</v>
      </c>
      <c r="AH14" s="197">
        <f t="shared" si="8"/>
        <v>123</v>
      </c>
      <c r="AI14" s="197">
        <f t="shared" si="8"/>
        <v>86</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647</v>
      </c>
      <c r="AZ14" s="197">
        <f>SUBTOTAL(9,AZ8:AZ13)</f>
        <v>976</v>
      </c>
      <c r="BA14" s="197">
        <f>SUBTOTAL(9,BA8:BA13)</f>
        <v>869</v>
      </c>
      <c r="BB14" s="197">
        <f>SUBTOTAL(9,BB8:BB13)</f>
        <v>639</v>
      </c>
      <c r="BC14" s="197">
        <f>SUBTOTAL(9,BC8:BC13)</f>
        <v>376</v>
      </c>
      <c r="BD14" s="219">
        <f>IF(ISNUMBER(BA14/AZ14),BA14/AZ14," - ")</f>
        <v>0.89036885245901642</v>
      </c>
      <c r="BE14" s="220">
        <f>IF(ISNUMBER(BB14/BA14),BB14/BA14, " - ")</f>
        <v>0.73532796317606441</v>
      </c>
      <c r="BF14" s="220">
        <f>IF(ISNUMBER(BC14/BA14),BC14/BA14, " - ")</f>
        <v>0.43268124280782511</v>
      </c>
      <c r="BG14" s="221">
        <f>IF(ISNUMBER((AY14+AZ14)/BA14),(AY14+AZ14)/BA14," - ")</f>
        <v>1.8676639815880323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103</v>
      </c>
      <c r="J17" s="196">
        <v>505</v>
      </c>
      <c r="K17" s="196">
        <v>495</v>
      </c>
      <c r="L17" s="196">
        <v>114</v>
      </c>
      <c r="M17" s="196">
        <v>111</v>
      </c>
      <c r="N17" s="196">
        <v>290</v>
      </c>
      <c r="O17" s="194">
        <v>0</v>
      </c>
      <c r="P17" s="196">
        <v>19</v>
      </c>
      <c r="Q17" s="196">
        <v>6</v>
      </c>
      <c r="R17" s="196">
        <v>60</v>
      </c>
      <c r="S17" s="196">
        <v>198</v>
      </c>
      <c r="T17" s="196">
        <v>516</v>
      </c>
      <c r="U17" s="196">
        <v>553</v>
      </c>
      <c r="V17" s="196">
        <v>103</v>
      </c>
      <c r="W17" s="196">
        <v>105</v>
      </c>
      <c r="X17" s="202">
        <v>300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198</v>
      </c>
      <c r="AZ17" s="137">
        <f t="shared" si="10"/>
        <v>516</v>
      </c>
      <c r="BA17" s="137">
        <f t="shared" si="10"/>
        <v>553</v>
      </c>
      <c r="BB17" s="137">
        <f t="shared" si="10"/>
        <v>103</v>
      </c>
      <c r="BC17" s="135">
        <f>IF(ISNUMBER(W17),W17," - ")</f>
        <v>105</v>
      </c>
      <c r="BD17" s="136">
        <f t="shared" ref="BD17:BD22" si="12">IF(ISNUMBER(BA17/AZ17),BA17/AZ17," - ")</f>
        <v>1.0717054263565891</v>
      </c>
      <c r="BE17" s="137">
        <f t="shared" ref="BE17:BE22" si="13">IF(ISNUMBER(BB17/BA17),BB17/BA17, " - ")</f>
        <v>0.18625678119349007</v>
      </c>
      <c r="BF17" s="137">
        <f t="shared" ref="BF17:BF22" si="14">IF(ISNUMBER(BC17/BA17),BC17/BA17, " - ")</f>
        <v>0.189873417721519</v>
      </c>
      <c r="BG17" s="209">
        <f t="shared" si="11"/>
        <v>1.2911392405063291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33</v>
      </c>
      <c r="K18" s="196">
        <v>29</v>
      </c>
      <c r="L18" s="196">
        <v>11</v>
      </c>
      <c r="M18" s="196">
        <v>6</v>
      </c>
      <c r="N18" s="196">
        <v>16</v>
      </c>
      <c r="O18" s="196">
        <v>0</v>
      </c>
      <c r="P18" s="196">
        <v>0</v>
      </c>
      <c r="Q18" s="196">
        <v>0</v>
      </c>
      <c r="R18" s="196">
        <v>1</v>
      </c>
      <c r="S18" s="196">
        <v>30</v>
      </c>
      <c r="T18" s="196">
        <v>28</v>
      </c>
      <c r="U18" s="196">
        <v>28</v>
      </c>
      <c r="V18" s="196">
        <v>7</v>
      </c>
      <c r="W18" s="196">
        <v>6</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28</v>
      </c>
      <c r="BA18" s="139">
        <f t="shared" si="15"/>
        <v>28</v>
      </c>
      <c r="BB18" s="139">
        <f t="shared" si="15"/>
        <v>7</v>
      </c>
      <c r="BC18" s="135">
        <f>IF(ISNUMBER(W18),W18," - ")</f>
        <v>6</v>
      </c>
      <c r="BD18" s="136">
        <f>IF(ISNUMBER(BA18/AZ18),BA18/AZ18," - ")</f>
        <v>1</v>
      </c>
      <c r="BE18" s="137">
        <f>IF(ISNUMBER(BB18/BA18),BB18/BA18, " - ")</f>
        <v>0.25</v>
      </c>
      <c r="BF18" s="137">
        <f>IF(ISNUMBER(BC18/BA18),BC18/BA18, " - ")</f>
        <v>0.21428571428571427</v>
      </c>
      <c r="BG18" s="209">
        <f>IF(ISNUMBER((AY18+AZ18)/BA18),(AY18+AZ18)/BA18," - ")</f>
        <v>2.0714285714285716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v>
      </c>
      <c r="J23" s="197">
        <f t="shared" si="21"/>
        <v>538</v>
      </c>
      <c r="K23" s="197">
        <f t="shared" si="21"/>
        <v>524</v>
      </c>
      <c r="L23" s="197">
        <f t="shared" si="21"/>
        <v>125</v>
      </c>
      <c r="M23" s="197">
        <f t="shared" si="21"/>
        <v>117</v>
      </c>
      <c r="N23" s="197">
        <f t="shared" si="21"/>
        <v>306</v>
      </c>
      <c r="O23" s="197">
        <f t="shared" si="21"/>
        <v>0</v>
      </c>
      <c r="P23" s="197">
        <f t="shared" si="21"/>
        <v>19</v>
      </c>
      <c r="Q23" s="197">
        <f t="shared" si="21"/>
        <v>6</v>
      </c>
      <c r="R23" s="197">
        <f t="shared" si="21"/>
        <v>61</v>
      </c>
      <c r="S23" s="197">
        <f t="shared" si="21"/>
        <v>228</v>
      </c>
      <c r="T23" s="197">
        <f t="shared" si="21"/>
        <v>544</v>
      </c>
      <c r="U23" s="197">
        <f t="shared" si="21"/>
        <v>581</v>
      </c>
      <c r="V23" s="197">
        <f t="shared" si="21"/>
        <v>110</v>
      </c>
      <c r="W23" s="197">
        <f t="shared" si="21"/>
        <v>111</v>
      </c>
      <c r="X23" s="197">
        <f t="shared" si="21"/>
        <v>315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228</v>
      </c>
      <c r="AZ23" s="197">
        <f>SUBTOTAL(9,AZ15:AZ22)</f>
        <v>544</v>
      </c>
      <c r="BA23" s="197">
        <f>SUBTOTAL(9,BA15:BA22)</f>
        <v>581</v>
      </c>
      <c r="BB23" s="197">
        <f>SUBTOTAL(9,BB15:BB22)</f>
        <v>110</v>
      </c>
      <c r="BC23" s="197">
        <f>SUBTOTAL(9,BC15:BC22)</f>
        <v>111</v>
      </c>
      <c r="BD23" s="219">
        <f>IF(ISNUMBER(BA23/AZ23),BA23/AZ23," - ")</f>
        <v>1.068014705882353</v>
      </c>
      <c r="BE23" s="220">
        <f>IF(ISNUMBER(BB23/BA23),BB23/BA23, " - ")</f>
        <v>0.18932874354561102</v>
      </c>
      <c r="BF23" s="220">
        <f>IF(ISNUMBER(BC23/BA23),BC23/BA23, " - ")</f>
        <v>0.19104991394148021</v>
      </c>
      <c r="BG23" s="221">
        <f>IF(ISNUMBER((AY23+AZ23)/BA23),(AY23+AZ23)/BA23," - ")</f>
        <v>1.3287435456110155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719</v>
      </c>
      <c r="J31" s="144">
        <f t="shared" si="36"/>
        <v>1328</v>
      </c>
      <c r="K31" s="144">
        <f t="shared" si="36"/>
        <v>1395</v>
      </c>
      <c r="L31" s="144">
        <f t="shared" si="36"/>
        <v>653</v>
      </c>
      <c r="M31" s="144">
        <f t="shared" si="36"/>
        <v>319</v>
      </c>
      <c r="N31" s="144">
        <f t="shared" si="36"/>
        <v>757</v>
      </c>
      <c r="O31" s="144">
        <f t="shared" si="36"/>
        <v>363</v>
      </c>
      <c r="P31" s="144">
        <f t="shared" si="36"/>
        <v>175</v>
      </c>
      <c r="Q31" s="144">
        <f t="shared" si="36"/>
        <v>224</v>
      </c>
      <c r="R31" s="144">
        <f t="shared" si="36"/>
        <v>791</v>
      </c>
      <c r="S31" s="144">
        <f t="shared" si="36"/>
        <v>806</v>
      </c>
      <c r="T31" s="144">
        <f t="shared" si="36"/>
        <v>1397</v>
      </c>
      <c r="U31" s="144">
        <f t="shared" si="36"/>
        <v>1364</v>
      </c>
      <c r="V31" s="144">
        <f t="shared" si="36"/>
        <v>719</v>
      </c>
      <c r="W31" s="144">
        <f t="shared" si="36"/>
        <v>312</v>
      </c>
      <c r="X31" s="144">
        <f t="shared" si="36"/>
        <v>691</v>
      </c>
      <c r="Y31" s="144">
        <f t="shared" si="36"/>
        <v>30</v>
      </c>
      <c r="Z31" s="144">
        <f t="shared" si="36"/>
        <v>88</v>
      </c>
      <c r="AA31" s="144">
        <f t="shared" si="36"/>
        <v>89</v>
      </c>
      <c r="AB31" s="144">
        <f t="shared" si="36"/>
        <v>29</v>
      </c>
      <c r="AC31" s="144">
        <f t="shared" si="36"/>
        <v>0</v>
      </c>
      <c r="AD31" s="144">
        <f t="shared" si="36"/>
        <v>1</v>
      </c>
      <c r="AE31" s="144">
        <f t="shared" si="36"/>
        <v>1</v>
      </c>
      <c r="AF31" s="144">
        <f t="shared" si="36"/>
        <v>0</v>
      </c>
      <c r="AG31" s="144">
        <f t="shared" si="36"/>
        <v>69</v>
      </c>
      <c r="AH31" s="144">
        <f t="shared" si="36"/>
        <v>123</v>
      </c>
      <c r="AI31" s="144">
        <f t="shared" si="36"/>
        <v>86</v>
      </c>
      <c r="AJ31" s="144">
        <f t="shared" si="36"/>
        <v>30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875</v>
      </c>
      <c r="AZ31" s="144">
        <f>SUBTOTAL(9,AZ9:AZ30)</f>
        <v>1520</v>
      </c>
      <c r="BA31" s="144">
        <f>SUBTOTAL(9,BA9:BA30)</f>
        <v>1450</v>
      </c>
      <c r="BB31" s="144">
        <f>SUBTOTAL(9,BB9:BB30)</f>
        <v>749</v>
      </c>
      <c r="BC31" s="145">
        <f>SUBTOTAL(9,BC9:BC30)</f>
        <v>487</v>
      </c>
      <c r="BD31" s="227">
        <f>IF(ISNUMBER(BA31/AZ31),BA31/AZ31," - ")</f>
        <v>0.95394736842105265</v>
      </c>
      <c r="BE31" s="224">
        <f>IF(ISNUMBER(BB31/BA31),BB31/BA31, " - ")</f>
        <v>0.51655172413793105</v>
      </c>
      <c r="BF31" s="224">
        <f>IF(ISNUMBER(BC31/BA31),BC31/BA31, " - ")</f>
        <v>0.33586206896551724</v>
      </c>
      <c r="BG31" s="145">
        <f>IF(ISNUMBER((AY31+AZ31)/BA31),(AY31+AZ31)/BA31," - ")</f>
        <v>1.6517241379310346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tghhSN8FTOvcFa292qpo8TaqVfQUUrqdDcXVfvMIN/yHkJRe4BXyiCH7VanIlRGUnsZvmFfa+PaA6Pm/0Oxw==" saltValue="jVNz8Jz4Ni0NZiJPZlzcG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NtYi/QkiQblqLaOdcnS2AVxG/+B18gGSuonJoEGhxwjoWpOVGTD6y6zNQVHVDZ6VpCpLrG48v/ccs+2oYESeA==" saltValue="oj9SCzZV6hT9jzBkfFWR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NEGREIRA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156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730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201</v>
      </c>
      <c r="BD12" s="693">
        <f>IF(ISNUMBER(Datos!N12),Datos!N12," - ")</f>
        <v>451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1.0935005701254277</v>
      </c>
      <c r="BH12" s="764">
        <f>IF(ISNUMBER(((IF(J_V="SI",Datos!L12/Datos!K12,(Datos!L12+Datos!AB12)/(Datos!K12+Datos!AA12)))*11)/factor_trimestre),((IF(J_V="SI",Datos!L12/Datos!K12,(Datos!L12+Datos!AB12)/(Datos!K12+Datos!AA12)))*11)/factor_trimestre," - ")</f>
        <v>6.3889468196037535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-7.8282828282828287E-2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156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218</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730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202</v>
      </c>
      <c r="BD14" s="1198">
        <f t="shared" si="2"/>
        <v>451</v>
      </c>
      <c r="BE14" s="1198">
        <f t="shared" si="2"/>
        <v>0</v>
      </c>
      <c r="BF14" s="1198">
        <f t="shared" si="2"/>
        <v>0</v>
      </c>
      <c r="BG14" s="1198">
        <f>IF(ISNUMBER(Datos!K14/Datos!J14),Datos!K14/Datos!J14," - ")</f>
        <v>1.1025316455696204</v>
      </c>
      <c r="BH14" s="1202">
        <f>IF(ISNUMBER(((Datos!L14/Datos!K14)*11)/factor_trimestre),((Datos!L14/Datos!K14)*11)/factor_trimestre," - ")</f>
        <v>6.6681974741676235</v>
      </c>
      <c r="BI14" s="1198">
        <f>IF(ISNUMBER('Resol  Asuntos'!D14/NºAsuntos!G14),'Resol  Asuntos'!D14/NºAsuntos!G14," - ")</f>
        <v>0.21041666666666667</v>
      </c>
      <c r="BJ14" s="1198" t="str">
        <f>IF(ISNUMBER(Datos!CI14/Datos!CJ14),Datos!CI14/Datos!CJ14," - ")</f>
        <v xml:space="preserve"> - </v>
      </c>
      <c r="BK14" s="1198">
        <f>SUBTOTAL(9,BK8:BK13)</f>
        <v>0</v>
      </c>
      <c r="BL14" s="1198" t="str">
        <f>IF(ISNUMBER((I14-AB14+L14)/(F14)),(I14-AB14+L14)/(F14)," - ")</f>
        <v xml:space="preserve"> - </v>
      </c>
      <c r="BM14" s="1203">
        <f>SUBTOTAL(9,BM9:BM13)</f>
        <v>-7.8282828282828287E-2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104</v>
      </c>
      <c r="G17" s="743">
        <f>IF(ISNUMBER(IF(D_I="SI",Datos!I17,Datos!I17+Datos!AC17)),IF(D_I="SI",Datos!I17,Datos!I17+Datos!AC17)," - ")</f>
        <v>103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495</v>
      </c>
      <c r="AC17" s="240">
        <f>IF(ISNUMBER(Datos!Q17),Datos!Q17," - ")</f>
        <v>6</v>
      </c>
      <c r="AD17" s="374"/>
      <c r="AE17" s="562"/>
      <c r="AF17" s="741">
        <f>IF(ISNUMBER(IF(D_I="SI",Datos!L17,Datos!L17+Datos!AF17)),IF(D_I="SI",Datos!L17,Datos!L17+Datos!AF17)," - ")</f>
        <v>114</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111</v>
      </c>
      <c r="BD17" s="243">
        <f>IF(ISNUMBER(Datos!N17),Datos!N17," - ")</f>
        <v>290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0.98019801980198018</v>
      </c>
      <c r="BH17" s="764">
        <f>IF(ISNUMBER(((IF(D_I="SI",Datos!L17/Datos!K17,(Datos!L17+Datos!AF17)/(Datos!K17+Datos!AE17)))*11)/factor_trimestre),((IF(D_I="SI",Datos!L17/Datos!K17,(Datos!L17+Datos!AF17)/(Datos!K17+Datos!AE17)))*11)/factor_trimestre," - ")</f>
        <v>2.5333333333333337</v>
      </c>
      <c r="BI17" s="266">
        <f>IF(ISNUMBER('Resol  Asuntos'!D17/NºAsuntos!G17),'Resol  Asuntos'!D17/NºAsuntos!G17," - ")</f>
        <v>0.22424242424242424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v>
      </c>
      <c r="AC18" s="547">
        <f>IF(ISNUMBER(Datos!Q18),Datos!Q18," - ")</f>
        <v>0</v>
      </c>
      <c r="AD18" s="549"/>
      <c r="AE18" s="562"/>
      <c r="AF18" s="551">
        <f>IF(ISNUMBER(Datos!L18),Datos!L18,"-")</f>
        <v>11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0.87878787878787878</v>
      </c>
      <c r="BH18" s="764">
        <f>IF(ISNUMBER(((IF(D_I="SI",Datos!L18/Datos!K18,(Datos!L18+Datos!AF18)/(Datos!K18+Datos!AE18)))*11)/factor_trimestre),((IF(D_I="SI",Datos!L18/Datos!K18,(Datos!L18+Datos!AF18)/(Datos!K18+Datos!AE18)))*11)/factor_trimestre," - ")</f>
        <v>4.1724137931034484</v>
      </c>
      <c r="BI18" s="763">
        <f>IF(ISNUMBER('Resol  Asuntos'!D18/NºAsuntos!G18),'Resol  Asuntos'!D18/NºAsuntos!G18," - ")</f>
        <v>0.20689655172413793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104</v>
      </c>
      <c r="G23" s="1197">
        <f>SUBTOTAL(9,G16:G22)</f>
        <v>110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524</v>
      </c>
      <c r="AC23" s="1198">
        <f t="shared" si="5"/>
        <v>6</v>
      </c>
      <c r="AD23" s="1198">
        <f t="shared" si="5"/>
        <v>0</v>
      </c>
      <c r="AE23" s="1198">
        <f t="shared" si="5"/>
        <v>0</v>
      </c>
      <c r="AF23" s="1198">
        <f t="shared" si="5"/>
        <v>125</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117</v>
      </c>
      <c r="BD23" s="1198">
        <f t="shared" si="5"/>
        <v>306</v>
      </c>
      <c r="BE23" s="1198">
        <f t="shared" si="5"/>
        <v>0</v>
      </c>
      <c r="BF23" s="1198">
        <f t="shared" si="5"/>
        <v>0</v>
      </c>
      <c r="BG23" s="1198">
        <f>IF(ISNUMBER(Datos!K23/Datos!J23),Datos!K23/Datos!J23," - ")</f>
        <v>0.97397769516728627</v>
      </c>
      <c r="BH23" s="1202">
        <f>IF(ISNUMBER(((Datos!L23/Datos!K23)*11)/factor_trimestre),((Datos!L23/Datos!K23)*11)/factor_trimestre," - ")</f>
        <v>2.6240458015267176</v>
      </c>
      <c r="BI23" s="1198">
        <f>SUBTOTAL(9,BI16:BI22)</f>
        <v>0.43113897596656214</v>
      </c>
      <c r="BJ23" s="1198">
        <f>SUBTOTAL(9,BJ16:BJ22)</f>
        <v>0</v>
      </c>
      <c r="BK23" s="1198">
        <f>SUBTOTAL(9,BK16:BK22)</f>
        <v>0</v>
      </c>
      <c r="BL23" s="1198">
        <f>IF(ISNUMBER((I23-AB23+L23)/(F23)),(I23-AB23+L23)/(F23)," - ")</f>
        <v>-5.0384615384615383</v>
      </c>
      <c r="BM23" s="1205">
        <f>IF(ISNUMBER((Datos!P23-Datos!Q23)/(Datos!R23-Datos!P23+Datos!Q23)),(Datos!P23-Datos!Q23)/(Datos!R23-Datos!P23+Datos!Q23)," - ")</f>
        <v>0.27083333333333331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104</v>
      </c>
      <c r="G31" s="1117">
        <f t="shared" si="18"/>
        <v>110</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175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525</v>
      </c>
      <c r="AC31" s="1118">
        <f t="shared" si="19"/>
        <v>224</v>
      </c>
      <c r="AD31" s="1118">
        <f t="shared" si="19"/>
        <v>0</v>
      </c>
      <c r="AE31" s="1118">
        <f t="shared" si="19"/>
        <v>0</v>
      </c>
      <c r="AF31" s="1125">
        <f t="shared" si="19"/>
        <v>125</v>
      </c>
      <c r="AG31" s="1125">
        <f t="shared" si="19"/>
        <v>0</v>
      </c>
      <c r="AH31" s="1125">
        <f t="shared" si="19"/>
        <v>29</v>
      </c>
      <c r="AI31" s="1125">
        <f t="shared" si="19"/>
        <v>0</v>
      </c>
      <c r="AJ31" s="1118">
        <f t="shared" si="19"/>
        <v>0</v>
      </c>
      <c r="AK31" s="1125">
        <f t="shared" si="19"/>
        <v>0</v>
      </c>
      <c r="AL31" s="1125">
        <f t="shared" si="19"/>
        <v>0</v>
      </c>
      <c r="AM31" s="1125">
        <f t="shared" si="19"/>
        <v>791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319</v>
      </c>
      <c r="BD31" s="1117">
        <f t="shared" si="19"/>
        <v>757</v>
      </c>
      <c r="BE31" s="1117">
        <f t="shared" si="19"/>
        <v>0</v>
      </c>
      <c r="BF31" s="1127">
        <f t="shared" si="19"/>
        <v>0</v>
      </c>
      <c r="BG31" s="1223">
        <f>IF(ISNUMBER(Datos!K31/Datos!J31),Datos!K31/Datos!J31," - ")</f>
        <v>1.0504518072289157</v>
      </c>
      <c r="BH31" s="1223">
        <f>IF(ISNUMBER(((Datos!L31/Datos!K31)*11)/factor_trimestre),((Datos!L31/Datos!K31)*11)/factor_trimestre," - ")</f>
        <v>5.1491039426523297</v>
      </c>
      <c r="BI31" s="1103">
        <f>IF(ISNUMBER(Datos!J31/Datos!I31),Datos!J31/Datos!I31," - ")</f>
        <v>1.8470097357440891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-5.0480769230769234</v>
      </c>
      <c r="BM31" s="1188">
        <f>IF(ISNUMBER((Datos!P31-Datos!Q31+R31)/(Datos!R31-Datos!P31+Datos!Q31-R31)),(Datos!P31-Datos!Q31+R31)/(Datos!R31-Datos!P31+Datos!Q31-R31)," - ")</f>
        <v>-5.8333333333333334E-2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53.705369067409514</v>
      </c>
      <c r="G33" s="674">
        <f>IF(ISNUMBER(STDEV(G8:G30)),STDEV(G8:G30),"-")</f>
        <v>51.386954060530265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245.94850409520012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89.73890699452177</v>
      </c>
      <c r="BD33" s="673"/>
      <c r="BE33" s="673">
        <f>IF(ISNUMBER(STDEV(BE8:BE30)),STDEV(BE8:BE30),"-")</f>
        <v>0</v>
      </c>
      <c r="BF33" s="678">
        <f>IF(ISNUMBER(STDEV(BF8:BF30)),STDEV(BF8:BF30),"-")</f>
        <v>0</v>
      </c>
      <c r="BG33" s="1052">
        <f>IF(ISNUMBER(STDEV(BG8:BG30)),STDEV(BG8:BG30),"-")</f>
        <v>8.3518412213524545E-2</v>
      </c>
      <c r="BH33" s="1058">
        <f>IF(ISNUMBER(STDEV(BH8:BH30)),STDEV(BH8:BH30),"-")</f>
        <v>2.548206048592029</v>
      </c>
      <c r="BI33" s="273">
        <f>IF(ISNUMBER(STDEV(BI8:BI30)),STDEV(BI8:BI30),"-")</f>
        <v>0.10890118144573005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iyqJO+zosn2yYaIw1m6Le/V+eKyMA2x968p7crIvqt+307YTE1+IO4S3dyUsOn6dOokQlllKX7/vMG3DXLWBw==" saltValue="uTnjbjJ5A37C32QgLqkP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NEGREIRA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218</v>
      </c>
      <c r="AA12" s="551" t="str">
        <f>IF(ISNUMBER(IF(J_V="SI",Datos!L12,Datos!L12+Datos!AB12)-IF(Monitorios="SI",Datos!CD12,0)),
                          IF(J_V="SI",Datos!L12,Datos!L12+Datos!AB12)-IF(Monitorios="SI",Datos!CD12,0),
                          " - ")</f>
        <v xml:space="preserve"> - </v>
      </c>
      <c r="AB12" s="549"/>
      <c r="AC12" s="549"/>
      <c r="AD12" s="563"/>
      <c r="AE12" s="563">
        <f>IF(ISNUMBER(Datos!R12),Datos!R12," - ")</f>
        <v>730</v>
      </c>
      <c r="AF12" s="693" t="str">
        <f>IF(ISNUMBER(Datos!BV12),Datos!BV12," - ")</f>
        <v xml:space="preserve"> - </v>
      </c>
      <c r="AG12" s="552" t="str">
        <f>IF(ISNUMBER(Datos!DV12),Datos!DV12," - ")</f>
        <v xml:space="preserve"> - </v>
      </c>
      <c r="AH12" s="553"/>
      <c r="AI12" s="554"/>
      <c r="AJ12" s="552">
        <f>IF(ISNUMBER(Datos!M12),Datos!M12," - ")</f>
        <v>201</v>
      </c>
      <c r="AK12" s="693">
        <f>IF(ISNUMBER(Datos!N12),Datos!N12," - ")</f>
        <v>451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6.3889468196037535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-7.8282828282828287E-2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218</v>
      </c>
      <c r="AA14" s="1199">
        <f t="shared" si="3"/>
        <v>0</v>
      </c>
      <c r="AB14" s="1199">
        <f t="shared" si="3"/>
        <v>0</v>
      </c>
      <c r="AC14" s="1199">
        <f t="shared" si="3"/>
        <v>0</v>
      </c>
      <c r="AD14" s="1199">
        <f t="shared" si="3"/>
        <v>0</v>
      </c>
      <c r="AE14" s="1199">
        <f t="shared" si="3"/>
        <v>730</v>
      </c>
      <c r="AF14" s="1211">
        <f t="shared" si="3"/>
        <v>0</v>
      </c>
      <c r="AG14" s="1211">
        <f t="shared" si="3"/>
        <v>0</v>
      </c>
      <c r="AH14" s="1211">
        <f t="shared" si="3"/>
        <v>0</v>
      </c>
      <c r="AI14" s="1211">
        <f t="shared" si="3"/>
        <v>0</v>
      </c>
      <c r="AJ14" s="1211">
        <f t="shared" si="3"/>
        <v>202</v>
      </c>
      <c r="AK14" s="1211">
        <f t="shared" si="3"/>
        <v>451</v>
      </c>
      <c r="AL14" s="1211">
        <f t="shared" si="3"/>
        <v>0</v>
      </c>
      <c r="AM14" s="1211">
        <f t="shared" si="3"/>
        <v>0</v>
      </c>
      <c r="AN14" s="1211">
        <f t="shared" si="3"/>
        <v>0</v>
      </c>
      <c r="AO14" s="1203">
        <f>IF(ISNUMBER(((NºAsuntos!I14/NºAsuntos!G14)*11)/factor_trimestre),((NºAsuntos!I14/NºAsuntos!G14)*11)/factor_trimestre," - ")</f>
        <v>6.3822916666666663</v>
      </c>
      <c r="AP14" s="1213" t="str">
        <f>IF(ISNUMBER(Datos!CI14/Datos!CJ14),Datos!CI14/Datos!CJ14," - ")</f>
        <v xml:space="preserve"> - </v>
      </c>
      <c r="AQ14" s="1236">
        <f t="shared" ref="AQ14:AV14" si="4">SUBTOTAL(9,AQ9:AQ13)</f>
        <v>0</v>
      </c>
      <c r="AR14" s="1236">
        <f t="shared" si="4"/>
        <v>-7.8282828282828287E-2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104</v>
      </c>
      <c r="G17" s="552">
        <f>IF(ISNUMBER(IF(D_I="SI",Datos!I17,Datos!I17+Datos!AC17)),IF(D_I="SI",Datos!I17,Datos!I17+Datos!AC17)," - ")</f>
        <v>103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495</v>
      </c>
      <c r="Z17" s="805">
        <f>IF(ISNUMBER(Datos!Q17),Datos!Q17," - ")</f>
        <v>6</v>
      </c>
      <c r="AA17" s="551">
        <f>IF(ISNUMBER(IF(D_I="SI",Datos!L17,Datos!L17+Datos!AF17)),IF(D_I="SI",Datos!L17,Datos!L17+Datos!AF17)," - ")</f>
        <v>114</v>
      </c>
      <c r="AB17" s="549"/>
      <c r="AC17" s="549"/>
      <c r="AD17" s="563"/>
      <c r="AE17" s="563">
        <f>IF(ISNUMBER(Datos!R17),Datos!R17," - ")</f>
        <v>60</v>
      </c>
      <c r="AF17" s="693" t="str">
        <f>IF(ISNUMBER(Datos!BV17),Datos!BV17," - ")</f>
        <v xml:space="preserve"> - </v>
      </c>
      <c r="AG17" s="552"/>
      <c r="AH17" s="553"/>
      <c r="AI17" s="554"/>
      <c r="AJ17" s="552">
        <f>IF(ISNUMBER(Datos!M17),Datos!M17," - ")</f>
        <v>111</v>
      </c>
      <c r="AK17" s="693">
        <f>IF(ISNUMBER(Datos!N17),Datos!N17," - ")</f>
        <v>290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2.5333333333333337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v>
      </c>
      <c r="Z18" s="805">
        <f>IF(ISNUMBER(Datos!Q18),Datos!Q18," - ")</f>
        <v>0</v>
      </c>
      <c r="AA18" s="551">
        <f>IF(ISNUMBER(Datos!L18),Datos!L18,"-")</f>
        <v>11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6</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4.1724137931034484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104</v>
      </c>
      <c r="G23" s="1197">
        <f>SUBTOTAL(9,G16:G22)</f>
        <v>110</v>
      </c>
      <c r="H23" s="1240">
        <f>SUBTOTAL(9,H16:H22)</f>
        <v>0</v>
      </c>
      <c r="I23" s="1217">
        <f>SUBTOTAL(9,I16:I22)</f>
        <v>0</v>
      </c>
      <c r="J23" s="1164">
        <f>SUBTOTAL(9,J15:J22)</f>
        <v>0</v>
      </c>
      <c r="K23" s="1240">
        <f t="shared" ref="K23:S23" si="5">SUBTOTAL(9,K16:K22)</f>
        <v>0</v>
      </c>
      <c r="L23" s="1240">
        <f t="shared" si="5"/>
        <v>0</v>
      </c>
      <c r="M23" s="1240">
        <f t="shared" si="5"/>
        <v>0</v>
      </c>
      <c r="N23" s="1240">
        <f t="shared" si="5"/>
        <v>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524</v>
      </c>
      <c r="Z23" s="1240">
        <f t="shared" si="6"/>
        <v>6</v>
      </c>
      <c r="AA23" s="1240">
        <f t="shared" si="6"/>
        <v>125</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117</v>
      </c>
      <c r="AK23" s="1240">
        <f t="shared" si="6"/>
        <v>306</v>
      </c>
      <c r="AL23" s="1240">
        <f t="shared" si="6"/>
        <v>0</v>
      </c>
      <c r="AM23" s="1240">
        <f t="shared" si="6"/>
        <v>0</v>
      </c>
      <c r="AN23" s="1240">
        <f t="shared" si="6"/>
        <v>0</v>
      </c>
      <c r="AO23" s="1242">
        <f>IF(ISNUMBER(((NºAsuntos!I23/NºAsuntos!G23)*11)/factor_trimestre),((NºAsuntos!I23/NºAsuntos!G23)*11)/factor_trimestre," - ")</f>
        <v>2.6240458015267176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104</v>
      </c>
      <c r="G31" s="1117">
        <f t="shared" si="12"/>
        <v>110</v>
      </c>
      <c r="H31" s="1118">
        <f t="shared" si="12"/>
        <v>0</v>
      </c>
      <c r="I31" s="1117">
        <f t="shared" si="12"/>
        <v>0</v>
      </c>
      <c r="J31" s="1119">
        <f t="shared" si="12"/>
        <v>0</v>
      </c>
      <c r="K31" s="1117">
        <f t="shared" si="12"/>
        <v>0</v>
      </c>
      <c r="L31" s="1120">
        <f t="shared" si="12"/>
        <v>0</v>
      </c>
      <c r="M31" s="1117">
        <f t="shared" si="12"/>
        <v>0</v>
      </c>
      <c r="N31" s="1118">
        <f t="shared" si="12"/>
        <v>175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525</v>
      </c>
      <c r="Z31" s="1124">
        <f t="shared" si="13"/>
        <v>224</v>
      </c>
      <c r="AA31" s="1125">
        <f t="shared" si="13"/>
        <v>125</v>
      </c>
      <c r="AB31" s="1125">
        <f t="shared" si="13"/>
        <v>0</v>
      </c>
      <c r="AC31" s="1125">
        <f t="shared" si="13"/>
        <v>0</v>
      </c>
      <c r="AD31" s="1126">
        <f t="shared" si="13"/>
        <v>0</v>
      </c>
      <c r="AE31" s="1126">
        <f t="shared" si="13"/>
        <v>791</v>
      </c>
      <c r="AF31" s="1127">
        <f t="shared" si="13"/>
        <v>0</v>
      </c>
      <c r="AG31" s="1128">
        <f t="shared" si="13"/>
        <v>0</v>
      </c>
      <c r="AH31" s="1129">
        <f t="shared" si="13"/>
        <v>0</v>
      </c>
      <c r="AI31" s="1127">
        <f t="shared" si="13"/>
        <v>0</v>
      </c>
      <c r="AJ31" s="1117">
        <f t="shared" si="13"/>
        <v>319</v>
      </c>
      <c r="AK31" s="1117">
        <f t="shared" si="13"/>
        <v>757</v>
      </c>
      <c r="AL31" s="1117">
        <f t="shared" si="13"/>
        <v>0</v>
      </c>
      <c r="AM31" s="1130">
        <f t="shared" si="13"/>
        <v>0</v>
      </c>
      <c r="AN31" s="1120">
        <f>IF(ISNUMBER(Datos!K31/Datos!J31),Datos!K31/Datos!J31," - ")</f>
        <v>1.0504518072289157</v>
      </c>
      <c r="AO31" s="1120">
        <f>IF(ISNUMBER(FIND("06",Criterios!A8,1)),(IF(ISNUMBER(((Datos!R31/Datos!Q31)*11)/factor_trimestre),((Datos!R31/Datos!Q31)*11)/factor_trimestre," - ")),(IF(ISNUMBER(((Datos!L31/Datos!K31)*11)/factor_trimestre),((Datos!L31/Datos!K31)*11)/factor_trimestre," - ")))</f>
        <v>5.1491039426523297</v>
      </c>
      <c r="AP31" s="1131" t="str">
        <f>IF(ISNUMBER(Datos!CI31/Datos!CJ31),Datos!CI31/Datos!CJ31," - ")</f>
        <v xml:space="preserve"> - </v>
      </c>
      <c r="AQ31" s="1131">
        <f>IF(OR(ISNUMBER(FIND("01",Criterios!A8,1)),ISNUMBER(FIND("02",Criterios!A8,1)),ISNUMBER(FIND("03",Criterios!A8,1)),ISNUMBER(FIND("04",Criterios!A8,1))),(J31-Y31+K31)/(F31-K31),(I31-Y31+K31)/(F31-K31))</f>
        <v>-5.0480769230769234</v>
      </c>
      <c r="AR31" s="1131">
        <f>IF(ISNUMBER((Datos!P31-Datos!Q31+O31)/(Datos!R31-Datos!P31+Datos!Q31-O31)),(Datos!P31-Datos!Q31+O31)/(Datos!R31-Datos!P31+Datos!Q31-O31)," - ")</f>
        <v>-5.8333333333333334E-2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53.705369067409514</v>
      </c>
      <c r="G33" s="674">
        <f>IF(ISNUMBER(STDEV(G8:G30)),STDEV(G8:G30),"-")</f>
        <v>51.386954060530265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89.73890699452177</v>
      </c>
      <c r="AK33" s="276"/>
      <c r="AL33" s="276">
        <f>IF(ISNUMBER(STDEV(AL8:AL30)),STDEV(AL8:AL30),"-")</f>
        <v>0</v>
      </c>
      <c r="AM33" s="278">
        <f>IF(ISNUMBER(STDEV(AM8:AM30)),STDEV(AM8:AM30),"-")</f>
        <v>0</v>
      </c>
      <c r="AN33" s="660">
        <f>IF(ISNUMBER(STDEV(AN8:AN30)),STDEV(AN8:AN30),"-")</f>
        <v>0</v>
      </c>
      <c r="AO33" s="661">
        <f>IF(ISNUMBER(STDEV(AO8:AO30)),STDEV(AO8:AO30),"-")</f>
        <v>2.484168048279729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IAZyA03vX81xymM4pUIyYLrEvAJRKxF8e4tAGW0M+Sodg4cOxlFz/BW/81l9VZdd1SKCU+NTHjIPR4s/H3EJg==" saltValue="uRl04zZrC7/xCA2xigCE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54IpUDfp0toe5HIEbSe5nhSHo6TZAWJyPjLtSGPXYIpAkoG+eGRaPFa+zsa9s7p1T1Su0KcIEemOi4dA37s9Q==" saltValue="Gn83P2ZuHCUCBPYnU2AT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1kjeNrQZz+YQXmsBg1HLw3hWw16REdKs2SWcDcZucYJ7lXa0Lzybdwjaztlt48KfGMd1LuPn88h/+dd22ATQ==" saltValue="3GxcTEryLkgLrdULE5go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NEGREIRA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0.21041666666666667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0.14878705187466937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hYAT2eUDs2ZsJCZrZEs5oCdtBjWbWz+AutI56RbsN1WMt+hfhZ4b6XTd4qv/paZmI7bdRM7D2nYwPpWhvOrOw==" saltValue="UqSVUiMHBlZKac4RliDT9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TZJjaOsdGUZWfUIXvvP/w7pkC5o6SJU/4PZlwBwNW217b4DgobdmfjjnVMQULN7BqWAKZ+o6aRgPnNBNy/ch/w==" saltValue="6OJrUfdgS4ZHDtTgUTiS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NEGREIRA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639</v>
      </c>
      <c r="D12" s="452">
        <f>IF(ISNUMBER(C12/Datos!BH12),C12/Datos!BH12," - ")</f>
        <v>639</v>
      </c>
      <c r="E12" s="451">
        <f>IF(ISNUMBER(IF(J_V="SI",Datos!J12,Datos!J12+Datos!Z12)),IF(J_V="SI",Datos!J12,Datos!J12+Datos!Z12)," - ")</f>
        <v>877</v>
      </c>
      <c r="F12" s="452">
        <f>IF(ISNUMBER(E12/B12),E12/B12," - ")</f>
        <v>877</v>
      </c>
      <c r="G12" s="451">
        <f>IF(ISNUMBER(IF(J_V="SI",Datos!K12,Datos!K12+Datos!AA12)),IF(J_V="SI",Datos!K12,Datos!K12+Datos!AA12)," - ")</f>
        <v>959</v>
      </c>
      <c r="H12" s="452">
        <f>IF(ISNUMBER(G12/B12),G12/B12," - ")</f>
        <v>959</v>
      </c>
      <c r="I12" s="451">
        <f>IF(ISNUMBER(IF(J_V="SI",Datos!L12,Datos!L12+Datos!AB12)),IF(J_V="SI",Datos!L12,Datos!L12+Datos!AB12)," - ")</f>
        <v>557</v>
      </c>
      <c r="J12" s="452">
        <f>IF(ISNUMBER(I12/B12),I12/B12," - ")</f>
        <v>557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639</v>
      </c>
      <c r="D14" s="1147" t="str">
        <f>IF(ISNUMBER(C14/Datos!BI14),C14/Datos!BI14," - ")</f>
        <v xml:space="preserve"> - </v>
      </c>
      <c r="E14" s="1146">
        <f>SUBTOTAL(9,E8:E13)</f>
        <v>878</v>
      </c>
      <c r="F14" s="1147">
        <f>IF(ISNUMBER(E14/B14),E14/B14," - ")</f>
        <v>878</v>
      </c>
      <c r="G14" s="1146">
        <f>SUBTOTAL(9,G8:G13)</f>
        <v>960</v>
      </c>
      <c r="H14" s="1147">
        <f>IF(ISNUMBER(G14/B14),G14/B14," - ")</f>
        <v>960</v>
      </c>
      <c r="I14" s="1146">
        <f>SUBTOTAL(9,I8:I13)</f>
        <v>557</v>
      </c>
      <c r="J14" s="1147">
        <f>IF(ISNUMBER(I14/B14),I14/B14," - ")</f>
        <v>557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103</v>
      </c>
      <c r="D17" s="452">
        <f>IF(ISNUMBER(C17/Datos!BH17),C17/Datos!BH17," - ")</f>
        <v>103</v>
      </c>
      <c r="E17" s="451">
        <f>IF(ISNUMBER(IF(D_I="SI",Datos!J17,Datos!J17+Datos!AD17)),IF(D_I="SI",Datos!J17,Datos!J17+Datos!AD17)," - ")</f>
        <v>505</v>
      </c>
      <c r="F17" s="452">
        <f>IF(ISNUMBER(E17/B17),E17/B17," - ")</f>
        <v>505</v>
      </c>
      <c r="G17" s="451">
        <f>IF(ISNUMBER(IF(D_I="SI",Datos!K17,Datos!K17+Datos!AE17)),IF(D_I="SI",Datos!K17,Datos!K17+Datos!AE17)," - ")</f>
        <v>495</v>
      </c>
      <c r="H17" s="452">
        <f>IF(ISNUMBER(G17/B17),G17/B17," - ")</f>
        <v>495</v>
      </c>
      <c r="I17" s="451">
        <f>IF(ISNUMBER(IF(D_I="SI",Datos!L17,Datos!L17+Datos!AF17)),IF(D_I="SI",Datos!L17,Datos!L17+Datos!AF17)," - ")</f>
        <v>114</v>
      </c>
      <c r="J17" s="452">
        <f>IF(ISNUMBER(I17/B17),I17/B17," - ")</f>
        <v>114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33</v>
      </c>
      <c r="F18" s="452">
        <f>IF(ISNUMBER(E18/B18),E18/B18," - ")</f>
        <v>33</v>
      </c>
      <c r="G18" s="451">
        <f>IF(ISNUMBER(IF(D_I="SI",Datos!K18,Datos!K18+Datos!AE18)),IF(D_I="SI",Datos!K18,Datos!K18+Datos!AE18)," - ")</f>
        <v>29</v>
      </c>
      <c r="H18" s="452">
        <f>IF(ISNUMBER(G18/B18),G18/B18," - ")</f>
        <v>29</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110</v>
      </c>
      <c r="D23" s="1147" t="str">
        <f>IF(ISNUMBER(C23/Datos!BI23),C23/Datos!BI23," - ")</f>
        <v xml:space="preserve"> - </v>
      </c>
      <c r="E23" s="1146">
        <f>SUBTOTAL(9,E15:E22)</f>
        <v>538</v>
      </c>
      <c r="F23" s="1147">
        <f>IF(ISNUMBER(E23/B23),E23/B23," - ")</f>
        <v>538</v>
      </c>
      <c r="G23" s="1146">
        <f>SUBTOTAL(9,G15:G22)</f>
        <v>524</v>
      </c>
      <c r="H23" s="1147">
        <f>IF(ISNUMBER(G23/B23),G23/B23," - ")</f>
        <v>524</v>
      </c>
      <c r="I23" s="1146">
        <f>SUBTOTAL(9,I15:I22)</f>
        <v>125</v>
      </c>
      <c r="J23" s="1147">
        <f>IF(ISNUMBER(I23/B23),I23/B23," - ")</f>
        <v>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749</v>
      </c>
      <c r="D31" s="1085" t="str">
        <f>IF(ISNUMBER(C31/Datos!BI31),C31/Datos!BI31," - ")</f>
        <v xml:space="preserve"> - </v>
      </c>
      <c r="E31" s="1084">
        <f>SUBTOTAL(9,E9:E30)</f>
        <v>1416</v>
      </c>
      <c r="F31" s="1085">
        <f>IF(ISNUMBER(E31/B31),E31/B31," - ")</f>
        <v>1416</v>
      </c>
      <c r="G31" s="1084">
        <f>SUBTOTAL(9,G9:G30)</f>
        <v>1484</v>
      </c>
      <c r="H31" s="1085">
        <f>IF(ISNUMBER(G31/B31),G31/B31," - ")</f>
        <v>1484</v>
      </c>
      <c r="I31" s="1084">
        <f>SUBTOTAL(9,I9:I30)</f>
        <v>682</v>
      </c>
      <c r="J31" s="1085">
        <f>IF(ISNUMBER(I31/B31),I31/B31," - ")</f>
        <v>682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2BGmTz538l5l3tU4wyT+L6LKlypzAvdzcT9g25BKfktVU+ZGYyta+8lDDIbqfX5Qx4GjuDUxyft0//KuQUAsnw==" saltValue="cZx65sFGZQcZdpd+3hAO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NEGREIRA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201</v>
      </c>
      <c r="AM12" s="914">
        <f>IF(ISNUMBER(Datos!N12+DatosP!N17),Datos!N12+DatosP!N17," - ")</f>
        <v>451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6.3889468196037535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-7.8282828282828287E-2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218</v>
      </c>
      <c r="AE14" s="1257">
        <f t="shared" si="1"/>
        <v>0</v>
      </c>
      <c r="AF14" s="1257">
        <f t="shared" si="1"/>
        <v>0</v>
      </c>
      <c r="AG14" s="1257">
        <f t="shared" si="1"/>
        <v>0</v>
      </c>
      <c r="AH14" s="1257">
        <f t="shared" si="1"/>
        <v>730</v>
      </c>
      <c r="AI14" s="1257">
        <f t="shared" si="1"/>
        <v>0</v>
      </c>
      <c r="AJ14" s="1257">
        <f t="shared" si="1"/>
        <v>0</v>
      </c>
      <c r="AK14" s="1257">
        <f t="shared" si="1"/>
        <v>0</v>
      </c>
      <c r="AL14" s="1257">
        <f t="shared" si="1"/>
        <v>202</v>
      </c>
      <c r="AM14" s="1257">
        <f t="shared" si="1"/>
        <v>451</v>
      </c>
      <c r="AN14" s="1257">
        <f t="shared" si="1"/>
        <v>0</v>
      </c>
      <c r="AO14" s="1257">
        <f t="shared" si="1"/>
        <v>0</v>
      </c>
      <c r="AP14" s="1262">
        <f>IF(ISNUMBER(((Datos!L14/Datos!K14)*11)/factor_trimestre),((Datos!L14/Datos!K14)*11)/factor_trimestre," - ")</f>
        <v>6.6681974741676235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-7.8282828282828287E-2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2.6240458015267176</v>
      </c>
      <c r="AQ23" s="1262">
        <f>IF(ISNUMBER(((Datos!M23/Datos!L23)*11)/factor_trimestre),((Datos!M23/Datos!L23)*11)/factor_trimestre," - ")</f>
        <v>10.296000000000001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0.27083333333333331</v>
      </c>
      <c r="AW23" s="1265">
        <f>IF(ISNUMBER((Datos!Q23-Datos!R23)/(Datos!S23-Datos!Q23+Datos!R23)),(Datos!Q23-Datos!R23)/(Datos!S23-Datos!Q23+Datos!R23)," - ")</f>
        <v>-0.19434628975265017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218</v>
      </c>
      <c r="AE31" s="1284">
        <f t="shared" si="9"/>
        <v>0</v>
      </c>
      <c r="AF31" s="1285">
        <f t="shared" si="9"/>
        <v>0</v>
      </c>
      <c r="AG31" s="1285">
        <f t="shared" si="9"/>
        <v>0</v>
      </c>
      <c r="AH31" s="1285">
        <f t="shared" si="9"/>
        <v>730</v>
      </c>
      <c r="AI31" s="1285">
        <f t="shared" si="9"/>
        <v>0</v>
      </c>
      <c r="AJ31" s="1286">
        <f t="shared" si="9"/>
        <v>0</v>
      </c>
      <c r="AK31" s="1286">
        <f t="shared" si="9"/>
        <v>0</v>
      </c>
      <c r="AL31" s="1278">
        <f t="shared" si="9"/>
        <v>202</v>
      </c>
      <c r="AM31" s="1278">
        <f t="shared" si="9"/>
        <v>451</v>
      </c>
      <c r="AN31" s="1278">
        <f t="shared" si="9"/>
        <v>0</v>
      </c>
      <c r="AO31" s="1278">
        <f t="shared" si="9"/>
        <v>0</v>
      </c>
      <c r="AP31" s="1278">
        <f>IF(ISNUMBER(((Datos!L31/Datos!K31)*11)/factor_trimestre),((Datos!L31/Datos!K31)*11)/factor_trimestre," - ")</f>
        <v>5.1491039426523297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-5.8333333333333334E-2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103.92625590613117</v>
      </c>
      <c r="AM33" s="1006"/>
      <c r="AN33" s="1006">
        <f>IF(ISNUMBER(STDEV(AN8:AN30)),STDEV(AN8:AN30),"-")</f>
        <v>0</v>
      </c>
      <c r="AO33" s="1012">
        <f>IF(ISNUMBER(STDEV(AO8:AO30)),STDEV(AO8:AO30),"-")</f>
        <v>0</v>
      </c>
      <c r="AP33" s="1065">
        <f>IF(ISNUMBER(STDEV(AP8:AP30)),STDEV(AP8:AP30),"-")</f>
        <v>3.1986551697815981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oK/gIGBYbNUd371OGzDYmyeoUXigrwlu5RdsY/BV0OX4pEkXnXsoUVMKLYbilLnEq4/oIeEMX4xaH5wK4A83w==" saltValue="XtQL6U/Z8CKaFIshgaba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NEGREIRA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A6wsox28lBHl0f3C48FT5EjwdUDx0iYzFfRM8iQhAeMOKYY/xscOTCr323VU7i561E3rnAyyS8gb2VXJQv4avA==" saltValue="6WTNGDacyQlQcB6qEtoW8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NEGREIRA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201</v>
      </c>
      <c r="E12" s="452">
        <f t="shared" si="0"/>
        <v>201</v>
      </c>
      <c r="F12" s="451">
        <f>IF(ISNUMBER(Datos!N12),Datos!N12," - ")</f>
        <v>451</v>
      </c>
      <c r="G12" s="452">
        <f t="shared" si="1"/>
        <v>451</v>
      </c>
      <c r="H12" s="451">
        <f>IF(ISNUMBER(Datos!O12),Datos!O12," - ")</f>
        <v>363</v>
      </c>
      <c r="I12" s="452">
        <f t="shared" si="2"/>
        <v>363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202</v>
      </c>
      <c r="E14" s="1147">
        <f t="shared" si="0"/>
        <v>101</v>
      </c>
      <c r="F14" s="1146">
        <f>SUBTOTAL(9,F9:F13)</f>
        <v>451</v>
      </c>
      <c r="G14" s="1147">
        <f t="shared" si="1"/>
        <v>225.5</v>
      </c>
      <c r="H14" s="1146">
        <f>SUBTOTAL(9,H9:H13)</f>
        <v>363</v>
      </c>
      <c r="I14" s="1147">
        <f>IF(ISNUMBER(H14/B14),H14/B14," - ")</f>
        <v>181.5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111</v>
      </c>
      <c r="E17" s="452">
        <f t="shared" si="3"/>
        <v>111</v>
      </c>
      <c r="F17" s="451">
        <f>IF(ISNUMBER(Datos!N17),Datos!N17," - ")</f>
        <v>290</v>
      </c>
      <c r="G17" s="452">
        <f t="shared" si="4"/>
        <v>290</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117</v>
      </c>
      <c r="E23" s="1147">
        <f t="shared" si="3"/>
        <v>58.5</v>
      </c>
      <c r="F23" s="1146">
        <f>SUBTOTAL(9,F16:F22)</f>
        <v>306</v>
      </c>
      <c r="G23" s="1147">
        <f t="shared" si="4"/>
        <v>153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319</v>
      </c>
      <c r="E31" s="1085">
        <f>IF(ISNUMBER(D31/B31),D31/B31," - ")</f>
        <v>319</v>
      </c>
      <c r="F31" s="1084">
        <f>SUBTOTAL(9,F8:F30)</f>
        <v>757</v>
      </c>
      <c r="G31" s="1085">
        <f>IF(ISNUMBER(F31/B31),F31/B31," - ")</f>
        <v>757</v>
      </c>
      <c r="H31" s="1084">
        <f>SUBTOTAL(9,H8:H30)</f>
        <v>363</v>
      </c>
      <c r="I31" s="1085">
        <f>IF(ISNUMBER(H31/B31),H31/B31," - ")</f>
        <v>363</v>
      </c>
    </row>
    <row r="34" spans="1:1">
      <c r="A34" s="439" t="str">
        <f>Criterios!A4</f>
        <v>Fecha Informe: 14 abr. 2023</v>
      </c>
    </row>
    <row r="39" spans="1:1">
      <c r="A39" s="462"/>
    </row>
  </sheetData>
  <sheetProtection algorithmName="SHA-512" hashValue="xRhSziJ9AxEKX78ZgjXe/wGwn4ZIR7C5i2grN4xt/NzMCTc4NYx6ZP2JLn+Bo6a5DHTqpNCn40J/hNupbUwCOw==" saltValue="0EKUh6l057O2w2c+hyD0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NEGREIRA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156</v>
      </c>
      <c r="C12" s="489">
        <f>IF(ISNUMBER(Datos!Q12),Datos!Q12," - ")</f>
        <v>218</v>
      </c>
      <c r="D12" s="456">
        <f>IF(ISNUMBER(Datos!R12),Datos!R12," - ")</f>
        <v>730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156</v>
      </c>
      <c r="C14" s="1150">
        <f>SUBTOTAL(9,C9:C13)</f>
        <v>218</v>
      </c>
      <c r="D14" s="1148">
        <f>SUBTOTAL(9,D9:D13)</f>
        <v>730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19</v>
      </c>
      <c r="C17" s="489">
        <f>IF(ISNUMBER(Datos!Q17),Datos!Q17," - ")</f>
        <v>6</v>
      </c>
      <c r="D17" s="456">
        <f>IF(ISNUMBER(Datos!R17),Datos!R17," - ")</f>
        <v>60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v>
      </c>
      <c r="C23" s="1150">
        <f>SUBTOTAL(9,C16:C22)</f>
        <v>6</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175</v>
      </c>
      <c r="C31" s="1089">
        <f>SUBTOTAL(9,C8:C30)</f>
        <v>224</v>
      </c>
      <c r="D31" s="1090">
        <f>SUBTOTAL(9,D8:D30)</f>
        <v>791</v>
      </c>
    </row>
    <row r="32" spans="1:4" ht="7.5" customHeight="1"/>
    <row r="33" spans="1:1" ht="6" customHeight="1"/>
    <row r="34" spans="1:1">
      <c r="A34" s="439" t="str">
        <f>Criterios!A4</f>
        <v>Fecha Informe: 14 abr. 2023</v>
      </c>
    </row>
    <row r="39" spans="1:1">
      <c r="A39" s="462"/>
    </row>
  </sheetData>
  <sheetProtection algorithmName="SHA-512" hashValue="cZXTYeu/lNWPiQXgEyGP8MAaTN+Ai8tuWR16L8f7xFTcacOSlLt0oFmwcPQZmag+tZpEF4SQgIRUhE2obguRDg==" saltValue="6jrusJvHUOSl7q5PE9QY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NEGREIRA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-1.2364760432766615E-2</v>
      </c>
      <c r="C12" s="515">
        <f>IF(ISNUMBER(
   IF(J_V="SI",(Datos!J12-Datos!T12)/Datos!T12,(Datos!J12+Datos!Z12-(Datos!T12+Datos!AH12))/(Datos!T12+Datos!AH12))
     ),IF(J_V="SI",(Datos!J12-Datos!T12)/Datos!T12,(Datos!J12+Datos!Z12-(Datos!T12+Datos!AH12))/(Datos!T12+Datos!AH12))," - ")</f>
        <v>-0.1014344262295082</v>
      </c>
      <c r="D12" s="515">
        <f>IF(ISNUMBER(
   IF(J_V="SI",(Datos!K12-Datos!U12)/Datos!U12,(Datos!K12+Datos!AA12-(Datos!U12+Datos!AI12))/(Datos!U12+Datos!AI12))
     ),IF(J_V="SI",(Datos!K12-Datos!U12)/Datos!U12,(Datos!K12+Datos!AA12-(Datos!U12+Datos!AI12))/(Datos!U12+Datos!AI12))," - ")</f>
        <v>0.10356731875719218</v>
      </c>
      <c r="E12" s="515">
        <f>IF(ISNUMBER(
   IF(J_V="SI",(Datos!L12-Datos!V12)/Datos!V12,(Datos!L12+Datos!AB12-(Datos!V12+Datos!AJ12))/(Datos!V12+Datos!AJ12))
     ),IF(J_V="SI",(Datos!L12-Datos!V12)/Datos!V12,(Datos!L12+Datos!AB12-(Datos!V12+Datos!AJ12))/(Datos!V12+Datos!AJ12))," - ")</f>
        <v>-0.12832550860719874</v>
      </c>
      <c r="F12" s="515">
        <f>IF(ISNUMBER((Datos!M12-Datos!W12)/Datos!W12),(Datos!M12-Datos!W12)/Datos!W12," - ")</f>
        <v>0</v>
      </c>
      <c r="G12" s="516">
        <f>IF(ISNUMBER((Datos!N12-Datos!X12)/Datos!X12),(Datos!N12-Datos!X12)/Datos!X12," - ")</f>
        <v>0.19946808510638298</v>
      </c>
      <c r="H12" s="514">
        <f>IF(ISNUMBER(((NºAsuntos!G12/NºAsuntos!E12)-Datos!BD12)/Datos!BD12),((NºAsuntos!G12/NºAsuntos!E12)-Datos!BD12)/Datos!BD12," - ")</f>
        <v>0.2281433330752789</v>
      </c>
      <c r="I12" s="515">
        <f>IF(ISNUMBER(((NºAsuntos!I12/NºAsuntos!G12)-Datos!BE12)/Datos!BE12),((NºAsuntos!I12/NºAsuntos!G12)-Datos!BE12)/Datos!BE12," - ")</f>
        <v>-0.21013020540110089</v>
      </c>
      <c r="J12" s="521">
        <f>IF(ISNUMBER((('Resol  Asuntos'!D12/NºAsuntos!G12)-Datos!BF12)/Datos!BF12),(('Resol  Asuntos'!D12/NºAsuntos!G12)-Datos!BF12)/Datos!BF12," - ")</f>
        <v>-0.51559414727220287</v>
      </c>
      <c r="K12" s="522">
        <f>IF(ISNUMBER((((NºAsuntos!C12+NºAsuntos!E12)/NºAsuntos!G12)-Datos!BG12)/Datos!BG12),(((NºAsuntos!C12+NºAsuntos!E12)/NºAsuntos!G12)-Datos!BG12)/Datos!BG12," - ")</f>
        <v>-0.15358792436925656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-1.2364760432766615E-2</v>
      </c>
      <c r="C14" s="1152">
        <f>IF(ISNUMBER(
   IF(J_V="SI",(Datos!J14-Datos!T14)/Datos!T14,(Datos!J14+Datos!Z14-(Datos!T14+Datos!AH14))/(Datos!T14+Datos!AH14))
     ),IF(J_V="SI",(Datos!J14-Datos!T14)/Datos!T14,(Datos!J14+Datos!Z14-(Datos!T14+Datos!AH14))/(Datos!T14+Datos!AH14))," - ")</f>
        <v>-0.10040983606557377</v>
      </c>
      <c r="D14" s="1152">
        <f>IF(ISNUMBER(
   IF(J_V="SI",(Datos!K14-Datos!U14)/Datos!U14,(Datos!K14+Datos!AA14-(Datos!U14+Datos!AI14))/(Datos!U14+Datos!AI14))
     ),IF(J_V="SI",(Datos!K14-Datos!U14)/Datos!U14,(Datos!K14+Datos!AA14-(Datos!U14+Datos!AI14))/(Datos!U14+Datos!AI14))," - ")</f>
        <v>0.1047180667433832</v>
      </c>
      <c r="E14" s="1152">
        <f>IF(ISNUMBER(
   IF(J_V="SI",(Datos!L14-Datos!V14)/Datos!V14,(Datos!L14+Datos!AB14-(Datos!V14+Datos!AJ14))/(Datos!V14+Datos!AJ14))
     ),IF(J_V="SI",(Datos!L14-Datos!V14)/Datos!V14,(Datos!L14+Datos!AB14-(Datos!V14+Datos!AJ14))/(Datos!V14+Datos!AJ14))," - ")</f>
        <v>-0.12832550860719874</v>
      </c>
      <c r="F14" s="1153">
        <f>IF(ISNUMBER((Datos!M14-Datos!W14)/Datos!W14),(Datos!M14-Datos!W14)/Datos!W14," - ")</f>
        <v>4.9751243781094526E-3</v>
      </c>
      <c r="G14" s="1154">
        <f>IF(ISNUMBER((Datos!N14-Datos!X14)/Datos!X14),(Datos!N14-Datos!X14)/Datos!X14," - ")</f>
        <v>0.19946808510638298</v>
      </c>
      <c r="H14" s="1154">
        <f>IF(ISNUMBER(((NºAsuntos!G14/NºAsuntos!E14)-Datos!BD14)/Datos!BD14),((NºAsuntos!G14/NºAsuntos!E14)-Datos!BD14)/Datos!BD14," - ")</f>
        <v>0.22802372795164236</v>
      </c>
      <c r="I14" s="1154">
        <f>IF(ISNUMBER(((NºAsuntos!I14/NºAsuntos!G14)-Datos!BE14)/Datos!BE14),((NºAsuntos!I14/NºAsuntos!G14)-Datos!BE14)/Datos!BE14," - ")</f>
        <v>-0.21095298643714136</v>
      </c>
      <c r="J14" s="1154">
        <f>IF(ISNUMBER((('Resol  Asuntos'!D14/NºAsuntos!G14)-Datos!BF14)/Datos!BF14),(('Resol  Asuntos'!D14/NºAsuntos!G14)-Datos!BF14)/Datos!BF14," - ")</f>
        <v>-0.51369126773049645</v>
      </c>
      <c r="K14" s="1154">
        <f>IF(ISNUMBER((((NºAsuntos!C14+NºAsuntos!E14)/NºAsuntos!G14)-Datos!BG14)/Datos!BG14),(((NºAsuntos!C14+NºAsuntos!E14)/NºAsuntos!G14)-Datos!BG14)/Datos!BG14," - ")</f>
        <v>-0.15391186588621891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-0.47979797979797978</v>
      </c>
      <c r="C17" s="515">
        <f>IF(ISNUMBER(
   IF(D_I="SI",(Datos!J17-Datos!T17)/Datos!T17,(Datos!J17+Datos!AD17-(Datos!T17+Datos!AL17))/(Datos!T17+Datos!AL17))
     ),IF(D_I="SI",(Datos!J17-Datos!T17)/Datos!T17,(Datos!J17+Datos!AD17-(Datos!T17+Datos!AL17))/(Datos!T17+Datos!AL17))," - ")</f>
        <v>-2.1317829457364341E-2</v>
      </c>
      <c r="D17" s="515">
        <f>IF(ISNUMBER(
   IF(D_I="SI",(Datos!K17-Datos!U17)/Datos!U17,(Datos!K17+Datos!AE17-(Datos!U17+Datos!AM17))/(Datos!U17+Datos!AM17))
     ),IF(D_I="SI",(Datos!K17-Datos!U17)/Datos!U17,(Datos!K17+Datos!AE17-(Datos!U17+Datos!AM17))/(Datos!U17+Datos!AM17))," - ")</f>
        <v>-0.10488245931283906</v>
      </c>
      <c r="E17" s="515">
        <f>IF(ISNUMBER(
   IF(D_I="SI",(Datos!L17-Datos!V17)/Datos!V17,(Datos!L17+Datos!AF17-(Datos!V17+Datos!AN17))/(Datos!V17+Datos!AN17))
     ),IF(D_I="SI",(Datos!L17-Datos!V17)/Datos!V17,(Datos!L17+Datos!AF17-(Datos!V17+Datos!AN17))/(Datos!V17+Datos!AN17))," - ")</f>
        <v>0.10679611650485436</v>
      </c>
      <c r="F17" s="515">
        <f>IF(ISNUMBER((Datos!M17-Datos!W17)/Datos!W17),(Datos!M17-Datos!W17)/Datos!W17," - ")</f>
        <v>5.7142857142857141E-2</v>
      </c>
      <c r="G17" s="516">
        <f>IF(ISNUMBER((Datos!N17-Datos!X17)/Datos!X17),(Datos!N17-Datos!X17)/Datos!X17," - ")</f>
        <v>-3.3333333333333333E-2</v>
      </c>
      <c r="H17" s="514">
        <f>IF(ISNUMBER(((NºAsuntos!G17/NºAsuntos!E17)-Datos!BD17)/Datos!BD17),((NºAsuntos!G17/NºAsuntos!E17)-Datos!BD17)/Datos!BD17," - ")</f>
        <v>-8.5384849515692918E-2</v>
      </c>
      <c r="I17" s="515">
        <f>IF(ISNUMBER(((NºAsuntos!I17/NºAsuntos!G17)-Datos!BE17)/Datos!BE17),((NºAsuntos!I17/NºAsuntos!G17)-Datos!BE17)/Datos!BE17," - ")</f>
        <v>0.23648131803471606</v>
      </c>
      <c r="J17" s="521">
        <f>IF(ISNUMBER((('Resol  Asuntos'!D17/NºAsuntos!G17)-Datos!BF17)/Datos!BF17),(('Resol  Asuntos'!D17/NºAsuntos!G17)-Datos!BF17)/Datos!BF17," - ")</f>
        <v>0.18101010101010093</v>
      </c>
      <c r="K17" s="522">
        <f>IF(ISNUMBER((((NºAsuntos!C17+NºAsuntos!E17)/NºAsuntos!G17)-Datos!BG17)/Datos!BG17),(((NºAsuntos!C17+NºAsuntos!E17)/NºAsuntos!G17)-Datos!BG17)/Datos!BG17," - ")</f>
        <v>-4.868290750643698E-2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-0.76666666666666672</v>
      </c>
      <c r="C18" s="515">
        <f>IF(ISNUMBER(
   IF(D_I="SI",(Datos!J18-Datos!T18)/Datos!T18,(Datos!J18+Datos!AD18-(Datos!T18+Datos!AL18))/(Datos!T18+Datos!AL18))
     ),IF(D_I="SI",(Datos!J18-Datos!T18)/Datos!T18,(Datos!J18+Datos!AD18-(Datos!T18+Datos!AL18))/(Datos!T18+Datos!AL18))," - ")</f>
        <v>0.17857142857142858</v>
      </c>
      <c r="D18" s="515">
        <f>IF(ISNUMBER(
   IF(D_I="SI",(Datos!K18-Datos!U18)/Datos!U18,(Datos!K18+Datos!AE18-(Datos!U18+Datos!AM18))/(Datos!U18+Datos!AM18))
     ),IF(D_I="SI",(Datos!K18-Datos!U18)/Datos!U18,(Datos!K18+Datos!AE18-(Datos!U18+Datos!AM18))/(Datos!U18+Datos!AM18))," - ")</f>
        <v>3.5714285714285712E-2</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v>
      </c>
      <c r="G18" s="516">
        <f>IF(ISNUMBER((Datos!N18-Datos!X18)/Datos!X18),(Datos!N18-Datos!X18)/Datos!X18," - ")</f>
        <v>6.6666666666666666E-2</v>
      </c>
      <c r="H18" s="514">
        <f>IF(ISNUMBER(((NºAsuntos!G18/NºAsuntos!E18)-Datos!BD18)/Datos!BD18),((NºAsuntos!G18/NºAsuntos!E18)-Datos!BD18)/Datos!BD18," - ")</f>
        <v>-0.12121212121212122</v>
      </c>
      <c r="I18" s="515">
        <f>IF(ISNUMBER(((NºAsuntos!I18/NºAsuntos!G18)-Datos!BE18)/Datos!BE18),((NºAsuntos!I18/NºAsuntos!G18)-Datos!BE18)/Datos!BE18," - ")</f>
        <v>0.51724137931034475</v>
      </c>
      <c r="J18" s="521">
        <f>IF(ISNUMBER((('Resol  Asuntos'!D18/NºAsuntos!G18)-Datos!BF18)/Datos!BF18),(('Resol  Asuntos'!D18/NºAsuntos!G18)-Datos!BF18)/Datos!BF18," - ")</f>
        <v>-3.4482758620689613E-2</v>
      </c>
      <c r="K18" s="522">
        <f>IF(ISNUMBER((((NºAsuntos!C18+NºAsuntos!E18)/NºAsuntos!G18)-Datos!BG18)/Datos!BG18),(((NºAsuntos!C18+NºAsuntos!E18)/NºAsuntos!G18)-Datos!BG18)/Datos!BG18," - ")</f>
        <v>-0.33412604042806182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-0.51754385964912286</v>
      </c>
      <c r="C23" s="1152">
        <f>IF(ISNUMBER(
   IF(Criterios!B14="SI",(Datos!J23-Datos!T23)/Datos!T23,(Datos!J23+Datos!AD23-(Datos!T23+Datos!AL23))/(Datos!T23+Datos!AL23))
     ),IF(Criterios!B14="SI",(Datos!J23-Datos!T23)/Datos!T23,(Datos!J23+Datos!AD23-(Datos!T23+Datos!AL23))/(Datos!T23+Datos!AL23))," - ")</f>
        <v>-1.1029411764705883E-2</v>
      </c>
      <c r="D23" s="1152">
        <f>IF(ISNUMBER(
   IF(Criterios!B14="SI",(Datos!K23-Datos!U23)/Datos!U23,(Datos!K23+Datos!AE23-(Datos!U23+Datos!AM23))/(Datos!U23+Datos!AM23))
     ),IF(Criterios!B14="SI",(Datos!K23-Datos!U23)/Datos!U23,(Datos!K23+Datos!AE23-(Datos!U23+Datos!AM23))/(Datos!U23+Datos!AM23))," - ")</f>
        <v>-9.8106712564543896E-2</v>
      </c>
      <c r="E23" s="1152">
        <f>IF(ISNUMBER(
   IF(Criterios!B14="SI",(Datos!L23-Datos!V23)/Datos!V23,(Datos!L23+Datos!AF23-(Datos!V23+Datos!AN23))/(Datos!V23+Datos!AN23))
     ),IF(Criterios!B14="SI",(Datos!L23-Datos!V23)/Datos!V23,(Datos!L23+Datos!AF23-(Datos!V23+Datos!AN23))/(Datos!V23+Datos!AN23))," - ")</f>
        <v>0.13636363636363635</v>
      </c>
      <c r="F23" s="1153">
        <f>IF(ISNUMBER((Datos!M23-Datos!W23)/Datos!W23),(Datos!M23-Datos!W23)/Datos!W23," - ")</f>
        <v>5.4054054054054057E-2</v>
      </c>
      <c r="G23" s="1154">
        <f>IF(ISNUMBER((Datos!N23-Datos!X23)/Datos!X23),(Datos!N23-Datos!X23)/Datos!X23," - ")</f>
        <v>-2.8571428571428571E-2</v>
      </c>
      <c r="H23" s="1154">
        <f>IF(ISNUMBER(((NºAsuntos!G23/NºAsuntos!E23)-Datos!BD23)/Datos!BD23),((NºAsuntos!G23/NºAsuntos!E23)-Datos!BD23)/Datos!BD23," - ")</f>
        <v>-8.8048423113590901E-2</v>
      </c>
      <c r="I23" s="1154">
        <f>IF(ISNUMBER(((NºAsuntos!I23/NºAsuntos!G23)-Datos!BE23)/Datos!BE23),((NºAsuntos!I23/NºAsuntos!G23)-Datos!BE23)/Datos!BE23," - ")</f>
        <v>0.2599757113115892</v>
      </c>
      <c r="J23" s="1154">
        <f>IF(ISNUMBER((('Resol  Asuntos'!D23/NºAsuntos!G23)-Datos!BF23)/Datos!BF23),(('Resol  Asuntos'!D23/NºAsuntos!G23)-Datos!BF23)/Datos!BF23," - ")</f>
        <v>0.1687126057355065</v>
      </c>
      <c r="K23" s="1154">
        <f>IF(ISNUMBER((((NºAsuntos!C23+NºAsuntos!E23)/NºAsuntos!G23)-Datos!BG23)/Datos!BG23),(((NºAsuntos!C23+NºAsuntos!E23)/NºAsuntos!G23)-Datos!BG23)/Datos!BG23," - ")</f>
        <v>-6.9315350235335943E-2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-0.14399999999999999</v>
      </c>
      <c r="C31" s="1092">
        <f>IF(ISNUMBER(
   IF(J_V="SI",(Datos!J31-Datos!T31)/Datos!T31,(Datos!J31+Datos!Z31-(Datos!T31+Datos!AH31))/(Datos!T31+Datos!AH31))
     ),IF(J_V="SI",(Datos!J31-Datos!T31)/Datos!T31,(Datos!J31+Datos!Z31-(Datos!T31+Datos!AH31))/(Datos!T31+Datos!AH31))," - ")</f>
        <v>-6.8421052631578952E-2</v>
      </c>
      <c r="D31" s="1092">
        <f>IF(ISNUMBER(
   IF(J_V="SI",(Datos!K31-Datos!U31)/Datos!U31,(Datos!K31+Datos!AA31-(Datos!U31+Datos!AI31))/(Datos!U31+Datos!AI31))
     ),IF(J_V="SI",(Datos!K31-Datos!U31)/Datos!U31,(Datos!K31+Datos!AA31-(Datos!U31+Datos!AI31))/(Datos!U31+Datos!AI31))," - ")</f>
        <v>2.3448275862068966E-2</v>
      </c>
      <c r="E31" s="1092">
        <f>IF(ISNUMBER(
   IF(J_V="SI",(Datos!L31-Datos!V31)/Datos!V31,(Datos!L31+Datos!AB31-(Datos!V31+Datos!AJ31))/(Datos!V31+Datos!AJ31))
     ),IF(J_V="SI",(Datos!L31-Datos!V31)/Datos!V31,(Datos!L31+Datos!AB31-(Datos!V31+Datos!AJ31))/(Datos!V31+Datos!AJ31))," - ")</f>
        <v>-8.9452603471295064E-2</v>
      </c>
      <c r="F31" s="1093">
        <f>IF(ISNUMBER((Datos!M31-Datos!W31)/Datos!W31),(Datos!M31-Datos!W31)/Datos!W31," - ")</f>
        <v>2.2435897435897436E-2</v>
      </c>
      <c r="G31" s="1094">
        <f>IF(ISNUMBER((Datos!N31-Datos!X31)/Datos!X31),(Datos!N31-Datos!X31)/Datos!X31," - ")</f>
        <v>9.5513748191027495E-2</v>
      </c>
      <c r="H31" s="1095">
        <f>IF(ISNUMBER((Tasas!B31-Datos!BD31)/Datos!BD31),(Tasas!B31-Datos!BD31)/Datos!BD31," - ")</f>
        <v>9.8616793298266031E-2</v>
      </c>
      <c r="I31" s="1096">
        <f>IF(ISNUMBER((Tasas!C31-Datos!BE31)/Datos!BE31),(Tasas!C31-Datos!BE31)/Datos!BE31," - ")</f>
        <v>-0.11031420150497158</v>
      </c>
      <c r="J31" s="1097">
        <f>IF(ISNUMBER((Tasas!D31-Datos!BF31)/Datos!BF31),(Tasas!D31-Datos!BF31)/Datos!BF31," - ")</f>
        <v>-0.35997664340231461</v>
      </c>
      <c r="K31" s="1097">
        <f>IF(ISNUMBER((Tasas!E31-Datos!BG31)/Datos!BG31),(Tasas!E31-Datos!BG31)/Datos!BG31," - ")</f>
        <v>-0.1167442279231778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QvlZH5vOG1a9MIvUKQuOHNPBVHDIKOoxK/nk6vySlxlIaEW1FqTyL2u0S0G30VD1+y/hCaKs3y7pjIQtpGcLQ==" saltValue="QckIqZSk+sJ/rQZpvTTY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NEGREIRA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1.0935005701254277</v>
      </c>
      <c r="C12" s="498">
        <f>IF(ISNUMBER(NºAsuntos!I12/NºAsuntos!G12),NºAsuntos!I12/NºAsuntos!G12," - ")</f>
        <v>0.58081334723670486</v>
      </c>
      <c r="D12" s="499">
        <f>IF(ISNUMBER('Resol  Asuntos'!D12/NºAsuntos!G12),'Resol  Asuntos'!D12/NºAsuntos!G12," - ")</f>
        <v>0.20959332638164754</v>
      </c>
      <c r="E12" s="500">
        <f>IF(ISNUMBER((NºAsuntos!C12+NºAsuntos!E12)/NºAsuntos!G12),(NºAsuntos!C12+NºAsuntos!E12)/NºAsuntos!G12," - ")</f>
        <v>1.580813347236705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1.0933940774487472</v>
      </c>
      <c r="C14" s="1156">
        <f>IF(ISNUMBER(NºAsuntos!I14/NºAsuntos!G14),NºAsuntos!I14/NºAsuntos!G14," - ")</f>
        <v>0.58020833333333333</v>
      </c>
      <c r="D14" s="1157">
        <f>IF(ISNUMBER('Resol  Asuntos'!D14/NºAsuntos!G14),'Resol  Asuntos'!D14/NºAsuntos!G14," - ")</f>
        <v>0.21041666666666667</v>
      </c>
      <c r="E14" s="1158">
        <f>IF(ISNUMBER((NºAsuntos!C14+NºAsuntos!E14)/NºAsuntos!G14),(NºAsuntos!C14+NºAsuntos!E14)/NºAsuntos!G14," - ")</f>
        <v>1.5802083333333334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0.98019801980198018</v>
      </c>
      <c r="C17" s="498">
        <f>IF(ISNUMBER(NºAsuntos!I17/NºAsuntos!G17),NºAsuntos!I17/NºAsuntos!G17," - ")</f>
        <v>0.23030303030303031</v>
      </c>
      <c r="D17" s="499">
        <f>IF(ISNUMBER('Resol  Asuntos'!D17/NºAsuntos!G17),'Resol  Asuntos'!D17/NºAsuntos!G17," - ")</f>
        <v>0.22424242424242424</v>
      </c>
      <c r="E17" s="500">
        <f>IF(ISNUMBER((NºAsuntos!C17+NºAsuntos!E17)/NºAsuntos!G17),(NºAsuntos!C17+NºAsuntos!E17)/NºAsuntos!G17," - ")</f>
        <v>1.2282828282828282</v>
      </c>
      <c r="G17" s="523"/>
    </row>
    <row r="18" spans="1:7">
      <c r="A18" s="450" t="str">
        <f>Datos!A18</f>
        <v>Jdos. Violencia contra la mujer</v>
      </c>
      <c r="B18" s="497">
        <f>IF(ISNUMBER(NºAsuntos!G18/NºAsuntos!E18),NºAsuntos!G18/NºAsuntos!E18," - ")</f>
        <v>0.87878787878787878</v>
      </c>
      <c r="C18" s="498">
        <f>IF(ISNUMBER(NºAsuntos!I18/NºAsuntos!G18),NºAsuntos!I18/NºAsuntos!G18," - ")</f>
        <v>0.37931034482758619</v>
      </c>
      <c r="D18" s="499">
        <f>IF(ISNUMBER('Resol  Asuntos'!D18/NºAsuntos!G18),'Resol  Asuntos'!D18/NºAsuntos!G18," - ")</f>
        <v>0.20689655172413793</v>
      </c>
      <c r="E18" s="500">
        <f>IF(ISNUMBER((NºAsuntos!C18+NºAsuntos!E18)/NºAsuntos!G18),(NºAsuntos!C18+NºAsuntos!E18)/NºAsuntos!G18," - ")</f>
        <v>1.3793103448275863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0.97397769516728627</v>
      </c>
      <c r="C23" s="1156">
        <f>IF(ISNUMBER(NºAsuntos!I23/NºAsuntos!G23),NºAsuntos!I23/NºAsuntos!G23," - ")</f>
        <v>0.2385496183206107</v>
      </c>
      <c r="D23" s="1159">
        <f>IF(ISNUMBER('Resol  Asuntos'!D23/NºAsuntos!G23),'Resol  Asuntos'!D23/NºAsuntos!G23," - ")</f>
        <v>0.22328244274809161</v>
      </c>
      <c r="E23" s="1158">
        <f>IF(ISNUMBER((NºAsuntos!C23+NºAsuntos!E23)/NºAsuntos!G23),(NºAsuntos!C23+NºAsuntos!E23)/NºAsuntos!G23," - ")</f>
        <v>1.2366412213740459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1.0480225988700564</v>
      </c>
      <c r="C31" s="1099">
        <f>IF(ISNUMBER(NºAsuntos!I31/NºAsuntos!G31),NºAsuntos!I31/NºAsuntos!G31," - ")</f>
        <v>0.45956873315363883</v>
      </c>
      <c r="D31" s="1100">
        <f>IF(ISNUMBER('Resol  Asuntos'!D31/NºAsuntos!G31),'Resol  Asuntos'!D31/NºAsuntos!G31," - ")</f>
        <v>0.21495956873315364</v>
      </c>
      <c r="E31" s="1101">
        <f>IF(ISNUMBER((NºAsuntos!C31+NºAsuntos!E31)/NºAsuntos!G31),(NºAsuntos!C31+NºAsuntos!E31)/NºAsuntos!G31," - ")</f>
        <v>1.4588948787061995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U8ZcLpgZnBCA7ollY1oitxfsAXnYYR2+gngSriFNjIsJjw9pLXXR3RxnvJZjLw/gaZApKuzVMyjg1O+r8f0dw==" saltValue="p01P3EJi9S8ELfTj6rfU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NEGREIRA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218</v>
      </c>
      <c r="Y12" s="374">
        <f t="shared" si="0"/>
        <v>218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201</v>
      </c>
      <c r="AJ12" s="243" t="str">
        <f>IF(ISNUMBER(Datos!BW12),Datos!BW12," - ")</f>
        <v xml:space="preserve"> - </v>
      </c>
      <c r="AK12" s="242" t="str">
        <f>IF(ISNUMBER(Datos!BX12),Datos!BX12," - ")</f>
        <v xml:space="preserve"> - </v>
      </c>
      <c r="AL12" s="266">
        <f>IF(ISNUMBER(NºAsuntos!G12/NºAsuntos!E12),NºAsuntos!G12/NºAsuntos!E12," - ")</f>
        <v>1.0935005701254277</v>
      </c>
      <c r="AM12" s="284">
        <f>IF(ISNUMBER(((NºAsuntos!I12/NºAsuntos!G12)*11)/factor_trimestre),((NºAsuntos!I12/NºAsuntos!G12)*11)/factor_trimestre," - ")</f>
        <v>6.3889468196037535</v>
      </c>
      <c r="AN12" s="267">
        <f>IF(ISNUMBER('Resol  Asuntos'!D12/NºAsuntos!G12),'Resol  Asuntos'!D12/NºAsuntos!G12," - ")</f>
        <v>0.20959332638164754</v>
      </c>
      <c r="AO12" s="268">
        <f>IF(ISNUMBER((NºAsuntos!C12+NºAsuntos!E12)/NºAsuntos!G12),(NºAsuntos!C12+NºAsuntos!E12)/NºAsuntos!G12," - ")</f>
        <v>1.580813347236705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218</v>
      </c>
      <c r="Y14" s="1165">
        <f t="shared" si="6"/>
        <v>219</v>
      </c>
      <c r="Z14" s="1165">
        <f t="shared" si="6"/>
        <v>0</v>
      </c>
      <c r="AA14" s="1165">
        <f t="shared" si="6"/>
        <v>0</v>
      </c>
      <c r="AB14" s="1165">
        <f t="shared" si="6"/>
        <v>730</v>
      </c>
      <c r="AC14" s="1165">
        <f t="shared" si="6"/>
        <v>0</v>
      </c>
      <c r="AD14" s="1165">
        <f t="shared" si="6"/>
        <v>0</v>
      </c>
      <c r="AE14" s="1169">
        <f t="shared" si="6"/>
        <v>0</v>
      </c>
      <c r="AF14" s="1162">
        <f t="shared" si="6"/>
        <v>0</v>
      </c>
      <c r="AG14" s="1170">
        <f t="shared" si="6"/>
        <v>0</v>
      </c>
      <c r="AH14" s="1167">
        <f t="shared" si="6"/>
        <v>0</v>
      </c>
      <c r="AI14" s="1162">
        <f t="shared" si="6"/>
        <v>202</v>
      </c>
      <c r="AJ14" s="1164">
        <f t="shared" si="6"/>
        <v>0</v>
      </c>
      <c r="AK14" s="1167">
        <f>SUBTOTAL(9,AK9:AK13)</f>
        <v>0</v>
      </c>
      <c r="AL14" s="1171">
        <f>IF(ISNUMBER(NºAsuntos!G14/NºAsuntos!E14),NºAsuntos!G14/NºAsuntos!E14," - ")</f>
        <v>1.0933940774487472</v>
      </c>
      <c r="AM14" s="1171">
        <f>IF(ISNUMBER(((NºAsuntos!I14/NºAsuntos!G14)*11)/factor_trimestre),((NºAsuntos!I14/NºAsuntos!G14)*11)/factor_trimestre," - ")</f>
        <v>6.3822916666666663</v>
      </c>
      <c r="AN14" s="1172">
        <f>IF(ISNUMBER('Resol  Asuntos'!D14/NºAsuntos!G14),'Resol  Asuntos'!D14/NºAsuntos!G14," - ")</f>
        <v>0.21041666666666667</v>
      </c>
      <c r="AO14" s="1173">
        <f>IF(ISNUMBER((NºAsuntos!C14+NºAsuntos!E14)/NºAsuntos!G14),(NºAsuntos!C14+NºAsuntos!E14)/NºAsuntos!G14," - ")</f>
        <v>1.5802083333333334</v>
      </c>
      <c r="AP14" s="1174" t="str">
        <f t="shared" si="2"/>
        <v xml:space="preserve"> - </v>
      </c>
      <c r="AQ14" s="1174" t="str">
        <f>IF(ISNUMBER((H14-W14+K14)/(F14)),(H14-W14+K14)/(F14)," - ")</f>
        <v xml:space="preserve"> - </v>
      </c>
      <c r="AR14" s="1175">
        <f>IF(ISNUMBER((Datos!P14-Datos!Q14)/(Datos!R14-Datos!P14+Datos!Q14)),(Datos!P14-Datos!Q14)/(Datos!R14-Datos!P14+Datos!Q14)," - ")</f>
        <v>-7.8282828282828287E-2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104</v>
      </c>
      <c r="G17" s="373">
        <f>IF(ISNUMBER(IF(D_I="SI",Datos!I17,Datos!I17+Datos!AC17)),IF(D_I="SI",Datos!I17,Datos!I17+Datos!AC17)," - ")</f>
        <v>103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495</v>
      </c>
      <c r="X17" s="240">
        <f>IF(ISNUMBER(Datos!Q17),Datos!Q17," - ")</f>
        <v>6</v>
      </c>
      <c r="Y17" s="374">
        <f t="shared" ref="Y17:Y22" si="9">SUM(W17:X17)</f>
        <v>501</v>
      </c>
      <c r="Z17" s="375" t="str">
        <f>IF(ISNUMBER(Datos!CC17),Datos!CC17," - ")</f>
        <v xml:space="preserve"> - </v>
      </c>
      <c r="AA17" s="372">
        <f>IF(ISNUMBER(IF(D_I="SI",Datos!L17,Datos!L17+Datos!AF17)),IF(D_I="SI",Datos!L17,Datos!L17+Datos!AF17)," - ")</f>
        <v>114</v>
      </c>
      <c r="AB17" s="374">
        <f>IF(ISNUMBER(Datos!R17),Datos!R17," - ")</f>
        <v>60</v>
      </c>
      <c r="AC17" s="374">
        <f t="shared" si="8"/>
        <v>174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111</v>
      </c>
      <c r="AJ17" s="245" t="str">
        <f>IF(ISNUMBER(Datos!BW17),Datos!BW17," - ")</f>
        <v xml:space="preserve"> - </v>
      </c>
      <c r="AK17" s="246" t="str">
        <f>IF(ISNUMBER(Datos!BX17),Datos!BX17," - ")</f>
        <v xml:space="preserve"> - </v>
      </c>
      <c r="AL17" s="266">
        <f>IF(ISNUMBER(NºAsuntos!G17/NºAsuntos!E17),NºAsuntos!G17/NºAsuntos!E17," - ")</f>
        <v>0.98019801980198018</v>
      </c>
      <c r="AM17" s="284">
        <f>IF(ISNUMBER(((NºAsuntos!I17/NºAsuntos!G17)*11)/factor_trimestre),((NºAsuntos!I17/NºAsuntos!G17)*11)/factor_trimestre," - ")</f>
        <v>2.5333333333333337</v>
      </c>
      <c r="AN17" s="267">
        <f>IF(ISNUMBER('Resol  Asuntos'!D17/NºAsuntos!G17),'Resol  Asuntos'!D17/NºAsuntos!G17," - ")</f>
        <v>0.22424242424242424</v>
      </c>
      <c r="AO17" s="268">
        <f>IF(ISNUMBER((NºAsuntos!C17+NºAsuntos!E17)/NºAsuntos!G17),(NºAsuntos!C17+NºAsuntos!E17)/NºAsuntos!G17," - ")</f>
        <v>1.2282828282828282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v>
      </c>
      <c r="X18" s="240">
        <f>IF(ISNUMBER(Datos!Q18),Datos!Q18," - ")</f>
        <v>0</v>
      </c>
      <c r="Y18" s="374">
        <f t="shared" si="9"/>
        <v>29</v>
      </c>
      <c r="Z18" s="375" t="str">
        <f>IF(ISNUMBER(Datos!CC18),Datos!CC18," - ")</f>
        <v xml:space="preserve"> - </v>
      </c>
      <c r="AA18" s="372">
        <f>IF(ISNUMBER(Datos!L18),Datos!L18,"-")</f>
        <v>11</v>
      </c>
      <c r="AB18" s="374">
        <f>IF(ISNUMBER(Datos!R18),Datos!R18," - ")</f>
        <v>1</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0.87878787878787878</v>
      </c>
      <c r="AM18" s="284">
        <f>IF(ISNUMBER(((NºAsuntos!I18/NºAsuntos!G18)*11)/factor_trimestre),((NºAsuntos!I18/NºAsuntos!G18)*11)/factor_trimestre," - ")</f>
        <v>4.1724137931034484</v>
      </c>
      <c r="AN18" s="267">
        <f>IF(ISNUMBER('Resol  Asuntos'!D18/NºAsuntos!G18),'Resol  Asuntos'!D18/NºAsuntos!G18," - ")</f>
        <v>0.20689655172413793</v>
      </c>
      <c r="AO18" s="268">
        <f>IF(ISNUMBER((NºAsuntos!C18+NºAsuntos!E18)/NºAsuntos!G18),(NºAsuntos!C18+NºAsuntos!E18)/NºAsuntos!G18," - ")</f>
        <v>1.3793103448275863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104</v>
      </c>
      <c r="G23" s="1163">
        <f>SUBTOTAL(9,G16:G22)</f>
        <v>110</v>
      </c>
      <c r="H23" s="1162">
        <f t="shared" ref="H23:O23" si="13">SUBTOTAL(9,H15:H22)</f>
        <v>0</v>
      </c>
      <c r="I23" s="1164">
        <f t="shared" si="13"/>
        <v>0</v>
      </c>
      <c r="J23" s="1164">
        <f t="shared" si="13"/>
        <v>0</v>
      </c>
      <c r="K23" s="1164">
        <f t="shared" si="13"/>
        <v>0</v>
      </c>
      <c r="L23" s="1164">
        <f t="shared" si="13"/>
        <v>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524</v>
      </c>
      <c r="X23" s="1164">
        <f t="shared" si="14"/>
        <v>6</v>
      </c>
      <c r="Y23" s="1165">
        <f t="shared" si="14"/>
        <v>530</v>
      </c>
      <c r="Z23" s="1165">
        <f t="shared" si="14"/>
        <v>0</v>
      </c>
      <c r="AA23" s="1165">
        <f t="shared" si="14"/>
        <v>125</v>
      </c>
      <c r="AB23" s="1165">
        <f t="shared" si="14"/>
        <v>61</v>
      </c>
      <c r="AC23" s="1165">
        <f t="shared" si="14"/>
        <v>186</v>
      </c>
      <c r="AD23" s="1165">
        <f t="shared" si="14"/>
        <v>0</v>
      </c>
      <c r="AE23" s="1169">
        <f t="shared" si="14"/>
        <v>0</v>
      </c>
      <c r="AF23" s="1162">
        <f t="shared" si="14"/>
        <v>0</v>
      </c>
      <c r="AG23" s="1170">
        <f t="shared" si="14"/>
        <v>0</v>
      </c>
      <c r="AH23" s="1167">
        <f t="shared" si="14"/>
        <v>0</v>
      </c>
      <c r="AI23" s="1162">
        <f t="shared" si="14"/>
        <v>117</v>
      </c>
      <c r="AJ23" s="1164">
        <f t="shared" si="14"/>
        <v>0</v>
      </c>
      <c r="AK23" s="1167">
        <f t="shared" si="14"/>
        <v>0</v>
      </c>
      <c r="AL23" s="1171">
        <f>IF(ISNUMBER(NºAsuntos!G23/NºAsuntos!E23),NºAsuntos!G23/NºAsuntos!E23," - ")</f>
        <v>0.97397769516728627</v>
      </c>
      <c r="AM23" s="1171">
        <f>IF(ISNUMBER(((NºAsuntos!I23/NºAsuntos!G23)*11)/factor_trimestre),((NºAsuntos!I23/NºAsuntos!G23)*11)/factor_trimestre," - ")</f>
        <v>2.6240458015267176</v>
      </c>
      <c r="AN23" s="1172">
        <f>IF(ISNUMBER('Resol  Asuntos'!D23/NºAsuntos!G23),'Resol  Asuntos'!D23/NºAsuntos!G23," - ")</f>
        <v>0.22328244274809161</v>
      </c>
      <c r="AO23" s="1173">
        <f>IF(ISNUMBER((NºAsuntos!C23+NºAsuntos!E23)/NºAsuntos!G23),(NºAsuntos!C23+NºAsuntos!E23)/NºAsuntos!G23," - ")</f>
        <v>1.2366412213740459</v>
      </c>
      <c r="AP23" s="1174" t="str">
        <f t="shared" si="2"/>
        <v xml:space="preserve"> - </v>
      </c>
      <c r="AQ23" s="1174">
        <f>IF(ISNUMBER((H23-W23+K23)/(F23)),(H23-W23+K23)/(F23)," - ")</f>
        <v>-5.0384615384615383</v>
      </c>
      <c r="AR23" s="1175">
        <f>IF(ISNUMBER((Datos!P23-Datos!Q23)/(Datos!R23-Datos!P23+Datos!Q23)),(Datos!P23-Datos!Q23)/(Datos!R23-Datos!P23+Datos!Q23)," - ")</f>
        <v>0.27083333333333331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104</v>
      </c>
      <c r="G31" s="1118">
        <f t="shared" si="20"/>
        <v>110</v>
      </c>
      <c r="H31" s="1117">
        <f t="shared" si="20"/>
        <v>0</v>
      </c>
      <c r="I31" s="1119">
        <f t="shared" si="20"/>
        <v>0</v>
      </c>
      <c r="J31" s="1119">
        <f t="shared" si="20"/>
        <v>0</v>
      </c>
      <c r="K31" s="1180">
        <f t="shared" si="20"/>
        <v>0</v>
      </c>
      <c r="L31" s="1119">
        <f t="shared" si="20"/>
        <v>175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525</v>
      </c>
      <c r="X31" s="1118">
        <f t="shared" si="21"/>
        <v>224</v>
      </c>
      <c r="Y31" s="1125">
        <f t="shared" si="21"/>
        <v>749</v>
      </c>
      <c r="Z31" s="1125">
        <f t="shared" si="21"/>
        <v>0</v>
      </c>
      <c r="AA31" s="1125">
        <f t="shared" si="21"/>
        <v>125</v>
      </c>
      <c r="AB31" s="1125">
        <f t="shared" si="21"/>
        <v>791</v>
      </c>
      <c r="AC31" s="1125">
        <f t="shared" si="21"/>
        <v>186</v>
      </c>
      <c r="AD31" s="1125">
        <f t="shared" si="21"/>
        <v>0</v>
      </c>
      <c r="AE31" s="1127">
        <f t="shared" si="21"/>
        <v>0</v>
      </c>
      <c r="AF31" s="1128">
        <f t="shared" si="21"/>
        <v>0</v>
      </c>
      <c r="AG31" s="1129">
        <f t="shared" si="21"/>
        <v>0</v>
      </c>
      <c r="AH31" s="1127">
        <f t="shared" si="21"/>
        <v>0</v>
      </c>
      <c r="AI31" s="1117">
        <f t="shared" si="21"/>
        <v>319</v>
      </c>
      <c r="AJ31" s="1117">
        <f t="shared" si="21"/>
        <v>0</v>
      </c>
      <c r="AK31" s="1127">
        <f t="shared" si="21"/>
        <v>0</v>
      </c>
      <c r="AL31" s="1183">
        <f>IF(ISNUMBER(NºAsuntos!G31/NºAsuntos!E31),NºAsuntos!G31/NºAsuntos!E31," - ")</f>
        <v>1.0480225988700564</v>
      </c>
      <c r="AM31" s="1184">
        <f>IF(ISNUMBER(((NºAsuntos!I31/NºAsuntos!G31)*11)/factor_trimestre),((NºAsuntos!I31/NºAsuntos!G31)*11)/factor_trimestre," - ")</f>
        <v>5.0552560646900275</v>
      </c>
      <c r="AN31" s="1184">
        <f>IF(ISNUMBER('Resol  Asuntos'!D31/NºAsuntos!G31),'Resol  Asuntos'!D31/NºAsuntos!G31," - ")</f>
        <v>0.21495956873315364</v>
      </c>
      <c r="AO31" s="1185">
        <f>IF(ISNUMBER((NºAsuntos!C31+NºAsuntos!E31)/NºAsuntos!G31),(NºAsuntos!C31+NºAsuntos!E31)/NºAsuntos!G31," - ")</f>
        <v>1.4588948787061995</v>
      </c>
      <c r="AP31" s="1186" t="str">
        <f t="shared" si="2"/>
        <v xml:space="preserve"> - </v>
      </c>
      <c r="AQ31" s="1187">
        <f>IF(OR(ISNUMBER(FIND("01",Criterios!A8,1)),ISNUMBER(FIND("02",Criterios!A8,1)),ISNUMBER(FIND("03",Criterios!A8,1)),ISNUMBER(FIND("04",Criterios!A8,1))),(I31-W31+K31)/(F31-K31),(H31-W31+K31)/(F31-K31))</f>
        <v>-5.0480769230769234</v>
      </c>
      <c r="AR31" s="1188">
        <f>IF(ISNUMBER((Datos!P31-Datos!Q31)/(Datos!R31-Datos!P31+Datos!Q31)),(Datos!P31-Datos!Q31)/(Datos!R31-Datos!P31+Datos!Q31)," - ")</f>
        <v>-5.8333333333333334E-2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53.705369067409514</v>
      </c>
      <c r="G33" s="277">
        <f>IF(ISNUMBER(STDEV(G8:G30)),STDEV(G8:G30),"-")</f>
        <v>51.386954060530265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245.94850409520012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89.73890699452177</v>
      </c>
      <c r="AJ33" s="276">
        <f t="shared" si="25"/>
        <v>0</v>
      </c>
      <c r="AK33" s="278">
        <f t="shared" si="25"/>
        <v>0</v>
      </c>
      <c r="AL33" s="273">
        <f t="shared" si="25"/>
        <v>8.1438003972918172E-2</v>
      </c>
      <c r="AM33" s="274">
        <f t="shared" si="25"/>
        <v>2.484168048279729</v>
      </c>
      <c r="AN33" s="274">
        <f t="shared" si="25"/>
        <v>0.32060551655943093</v>
      </c>
      <c r="AO33" s="275">
        <f t="shared" si="25"/>
        <v>0.22618531709316791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wqyvIF1LH3ehqA09BPK/E3goPsGHvBUKLvkcHwUkEBjQywog93M4gLw83r4ABNuZg3WkXBj/mFv5VTgIpYC5hg==" saltValue="yTfrsPvEQPFMyz5dFP/y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NEGREIRA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-0.21013020540110089</v>
      </c>
      <c r="J12" s="394">
        <f>IF(ISNUMBER((Tasas!D12-Datos!BF12)/Datos!BF12),(Tasas!D12-Datos!BF12)/Datos!BF12," - ")</f>
        <v>-0.51559414727220287</v>
      </c>
      <c r="K12" s="396">
        <f>IF(ISNUMBER((Tasas!E12-Datos!BG12)/Datos!BG12),(Tasas!E12-Datos!BG12)/Datos!BG12," - ")</f>
        <v>-0.15358792436925656</v>
      </c>
      <c r="M12" t="e">
        <f>IF(Monitorios="SI",Datos!CE12,0)</f>
        <v>#REF!</v>
      </c>
      <c r="N12" t="e">
        <f>IF(Monitorios="SI",Datos!CF12,0)</f>
        <v>#REF!</v>
      </c>
      <c r="O12" t="e">
        <f>IF(Monitorios="SI",Datos!CG12,0)</f>
        <v>#REF!</v>
      </c>
      <c r="P12" t="e">
        <f>IF(Monitorios="SI",Datos!CH12,0)</f>
        <v>#REF!</v>
      </c>
      <c r="Q12">
        <f>IF(J_V="SI",0,Datos!AG12)</f>
        <v>69</v>
      </c>
      <c r="R12">
        <f>IF(J_V="SI",0,Datos!AH12)</f>
        <v>123</v>
      </c>
      <c r="S12">
        <f>IF(J_V="SI",0,Datos!AI12)</f>
        <v>86</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4.9751243781094526E-3</v>
      </c>
      <c r="I14" s="402">
        <f>IF(ISNUMBER((Tasas!C14-Datos!BE14)/Datos!BE14),(Tasas!C14-Datos!BE14)/Datos!BE14," - ")</f>
        <v>-0.21095298643714136</v>
      </c>
      <c r="J14" s="400">
        <f>IF(ISNUMBER((Tasas!D14-Datos!BF14)/Datos!BF14),(Tasas!D14-Datos!BF14)/Datos!BF14," - ")</f>
        <v>-0.51369126773049645</v>
      </c>
      <c r="K14" s="403">
        <f>IF(ISNUMBER((Tasas!E14-Datos!BG14)/Datos!BG14),(Tasas!E14-Datos!BG14)/Datos!BG14," - ")</f>
        <v>-0.15391186588621891</v>
      </c>
      <c r="M14" t="e">
        <f>IF(Monitorios="SI",Datos!CE14,0)</f>
        <v>#REF!</v>
      </c>
      <c r="N14" t="e">
        <f>IF(Monitorios="SI",Datos!CF14,0)</f>
        <v>#REF!</v>
      </c>
      <c r="O14" t="e">
        <f>IF(Monitorios="SI",Datos!CG14,0)</f>
        <v>#REF!</v>
      </c>
      <c r="P14" t="e">
        <f>IF(Monitorios="SI",Datos!CH14,0)</f>
        <v>#REF!</v>
      </c>
      <c r="Q14">
        <f>IF(J_V="SI",0,Datos!AG14)</f>
        <v>69</v>
      </c>
      <c r="R14">
        <f>IF(J_V="SI",0,Datos!AH14)</f>
        <v>123</v>
      </c>
      <c r="S14">
        <f>IF(J_V="SI",0,Datos!AI14)</f>
        <v>86</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-0.47979797979797978</v>
      </c>
      <c r="E17" s="393">
        <f>IF(ISNUMBER(
   IF(D_I="SI",(Datos!J17-Datos!T17)/Datos!T17,(Datos!J17+Datos!AD17-(Datos!T17+Datos!AL17))/(Datos!T17+Datos!AL17))
     ),IF(D_I="SI",(Datos!J17-Datos!T17)/Datos!T17,(Datos!J17+Datos!AD17-(Datos!T17+Datos!AL17))/(Datos!T17+Datos!AL17))," - ")</f>
        <v>-2.1317829457364341E-2</v>
      </c>
      <c r="F17" s="393">
        <f>IF(ISNUMBER(
   IF(D_I="SI",(Datos!K17-Datos!U17)/Datos!U17,(Datos!K17+Datos!AE17-(Datos!U17+Datos!AM17))/(Datos!U17+Datos!AM17))
     ),IF(D_I="SI",(Datos!K17-Datos!U17)/Datos!U17,(Datos!K17+Datos!AE17-(Datos!U17+Datos!AM17))/(Datos!U17+Datos!AM17))," - ")</f>
        <v>-0.10488245931283906</v>
      </c>
      <c r="G17" s="394">
        <f>IF(ISNUMBER(
   IF(D_I="SI",(Datos!L17-Datos!V17)/Datos!V17,(Datos!L17+Datos!AF17-(Datos!V17+Datos!AN17))/(Datos!V17+Datos!AN17))
     ),IF(D_I="SI",(Datos!L17-Datos!V17)/Datos!V17,(Datos!L17+Datos!AF17-(Datos!V17+Datos!AN17))/(Datos!V17+Datos!AN17))," - ")</f>
        <v>0.10679611650485436</v>
      </c>
      <c r="H17" s="244">
        <f>IF(ISNUMBER((Datos!M17-Datos!W17)/Datos!W17),(Datos!M17-Datos!W17)/Datos!W17," - ")</f>
        <v>5.7142857142857141E-2</v>
      </c>
      <c r="I17" s="395">
        <f>IF(ISNUMBER((Tasas!C17-Datos!BE17)/Datos!BE17),(Tasas!C17-Datos!BE17)/Datos!BE17," - ")</f>
        <v>0.23648131803471606</v>
      </c>
      <c r="J17" s="394">
        <f>IF(ISNUMBER((Tasas!D17-Datos!BF17)/Datos!BF17),(Tasas!D17-Datos!BF17)/Datos!BF17," - ")</f>
        <v>0.18101010101010093</v>
      </c>
      <c r="K17" s="396">
        <f>IF(ISNUMBER((Tasas!E17-Datos!BG17)/Datos!BG17),(Tasas!E17-Datos!BG17)/Datos!BG17," - ")</f>
        <v>-4.868290750643698E-2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-0.76666666666666672</v>
      </c>
      <c r="E18" s="393">
        <f>IF(ISNUMBER(
   IF(D_I="SI",(Datos!J18-Datos!T18)/Datos!T18,(Datos!J18+Datos!AD18-(Datos!T18+Datos!AL18))/(Datos!T18+Datos!AL18))
     ),IF(D_I="SI",(Datos!J18-Datos!T18)/Datos!T18,(Datos!J18+Datos!AD18-(Datos!T18+Datos!AL18))/(Datos!T18+Datos!AL18))," - ")</f>
        <v>0.17857142857142858</v>
      </c>
      <c r="F18" s="393">
        <f>IF(ISNUMBER(
   IF(D_I="SI",(Datos!K18-Datos!U18)/Datos!U18,(Datos!K18+Datos!AE18-(Datos!U18+Datos!AM18))/(Datos!U18+Datos!AM18))
     ),IF(D_I="SI",(Datos!K18-Datos!U18)/Datos!U18,(Datos!K18+Datos!AE18-(Datos!U18+Datos!AM18))/(Datos!U18+Datos!AM18))," - ")</f>
        <v>3.5714285714285712E-2</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v>
      </c>
      <c r="I18" s="395">
        <f>IF(ISNUMBER((Tasas!C18-Datos!BE18)/Datos!BE18),(Tasas!C18-Datos!BE18)/Datos!BE18," - ")</f>
        <v>0.51724137931034475</v>
      </c>
      <c r="J18" s="394">
        <f>IF(ISNUMBER((Tasas!D18-Datos!BF18)/Datos!BF18),(Tasas!D18-Datos!BF18)/Datos!BF18," - ")</f>
        <v>-3.4482758620689613E-2</v>
      </c>
      <c r="K18" s="396">
        <f>IF(ISNUMBER((Tasas!E18-Datos!BG18)/Datos!BG18),(Tasas!E18-Datos!BG18)/Datos!BG18," - ")</f>
        <v>-0.33412604042806182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-0.51754385964912286</v>
      </c>
      <c r="E23" s="399">
        <f>IF(ISNUMBER(
   IF(D_I="SI",(Datos!J23-Datos!T23)/Datos!T23,(Datos!J23+Datos!AD23-(Datos!T23+Datos!AL23))/(Datos!T23+Datos!AL23))
     ),IF(D_I="SI",(Datos!J23-Datos!T23)/Datos!T23,(Datos!J23+Datos!AD23-(Datos!T23+Datos!AL23))/(Datos!T23+Datos!AL23))," - ")</f>
        <v>-1.1029411764705883E-2</v>
      </c>
      <c r="F23" s="399">
        <f>IF(ISNUMBER(
   IF(D_I="SI",(Datos!K23-Datos!U23)/Datos!U23,(Datos!K23+Datos!AE23-(Datos!U23+Datos!AM23))/(Datos!U23+Datos!AM23))
     ),IF(D_I="SI",(Datos!K23-Datos!U23)/Datos!U23,(Datos!K23+Datos!AE23-(Datos!U23+Datos!AM23))/(Datos!U23+Datos!AM23))," - ")</f>
        <v>-9.8106712564543896E-2</v>
      </c>
      <c r="G23" s="400">
        <f>IF(ISNUMBER(
   IF(D_I="SI",(Datos!L23-Datos!V23)/Datos!V23,(Datos!L23+Datos!AF23-(Datos!V23+Datos!AN23))/(Datos!V23+Datos!AN23))
     ),IF(D_I="SI",(Datos!L23-Datos!V23)/Datos!V23,(Datos!L23+Datos!AF23-(Datos!V23+Datos!AN23))/(Datos!V23+Datos!AN23))," - ")</f>
        <v>0.13636363636363635</v>
      </c>
      <c r="H23" s="401">
        <f>IF(ISNUMBER((Datos!M23-Datos!W23)/Datos!W23),(Datos!M23-Datos!W23)/Datos!W23," - ")</f>
        <v>5.4054054054054057E-2</v>
      </c>
      <c r="I23" s="402">
        <f>IF(ISNUMBER((Tasas!C23-Datos!BE23)/Datos!BE23),(Tasas!C23-Datos!BE23)/Datos!BE23," - ")</f>
        <v>0.2599757113115892</v>
      </c>
      <c r="J23" s="400">
        <f>IF(ISNUMBER((Tasas!D23-Datos!BF23)/Datos!BF23),(Tasas!D23-Datos!BF23)/Datos!BF23," - ")</f>
        <v>0.1687126057355065</v>
      </c>
      <c r="K23" s="403">
        <f>IF(ISNUMBER((Tasas!E23-Datos!BG23)/Datos!BG23),(Tasas!E23-Datos!BG23)/Datos!BG23," - ")</f>
        <v>-6.9315350235335943E-2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-0.14399999999999999</v>
      </c>
      <c r="E31" s="409">
        <f>IF(ISNUMBER(
   IF(J_V="SI",(Datos!J31-Datos!T31)/Datos!T31,(Datos!J31+Datos!Z31-(Datos!T31+Datos!AH31))/(Datos!T31+Datos!AH31))
     ),IF(J_V="SI",(Datos!J31-Datos!T31)/Datos!T31,(Datos!J31+Datos!Z31-(Datos!T31+Datos!AH31))/(Datos!T31+Datos!AH31))," - ")</f>
        <v>-6.8421052631578952E-2</v>
      </c>
      <c r="F31" s="409">
        <f>IF(ISNUMBER(
   IF(J_V="SI",(Datos!K31-Datos!U31)/Datos!U31,(Datos!K31+Datos!AA31-(Datos!U31+Datos!AI31))/(Datos!U31+Datos!AI31))
     ),IF(J_V="SI",(Datos!K31-Datos!U31)/Datos!U31,(Datos!K31+Datos!AA31-(Datos!U31+Datos!AI31))/(Datos!U31+Datos!AI31))," - ")</f>
        <v>2.3448275862068966E-2</v>
      </c>
      <c r="G31" s="410">
        <f>IF(ISNUMBER(
   IF(J_V="SI",(Datos!L31-Datos!V31)/Datos!V31,(Datos!L31+Datos!AB31-(Datos!V31+Datos!AJ31))/(Datos!V31+Datos!AJ31))
     ),IF(J_V="SI",(Datos!L31-Datos!V31)/Datos!V31,(Datos!L31+Datos!AB31-(Datos!V31+Datos!AJ31))/(Datos!V31+Datos!AJ31))," - ")</f>
        <v>-8.9452603471295064E-2</v>
      </c>
      <c r="H31" s="411">
        <f>IF(ISNUMBER((Datos!M31-Datos!W31)/Datos!W31),(Datos!M31-Datos!W31)/Datos!W31," - ")</f>
        <v>2.2435897435897436E-2</v>
      </c>
      <c r="I31" s="408">
        <f>IF(ISNUMBER((Tasas!C31-Datos!BE31)/Datos!BE31),(Tasas!C31-Datos!BE31)/Datos!BE31," - ")</f>
        <v>-0.11031420150497158</v>
      </c>
      <c r="J31" s="409">
        <f>IF(ISNUMBER((Tasas!D31-Datos!BF31)/Datos!BF31),(Tasas!D31-Datos!BF31)/Datos!BF31," - ")</f>
        <v>-0.35997664340231461</v>
      </c>
      <c r="K31" s="410">
        <f>IF(ISNUMBER((Tasas!E31-Datos!BG31)/Datos!BG31),(Tasas!E31-Datos!BG31)/Datos!BG31," - ")</f>
        <v>-0.1167442279231778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0.1558741842682759</v>
      </c>
      <c r="E33" s="303">
        <f t="shared" si="1"/>
        <v>0.11255372470520342</v>
      </c>
      <c r="F33" s="303">
        <f t="shared" si="1"/>
        <v>7.9289989948880979E-2</v>
      </c>
      <c r="G33" s="304">
        <f t="shared" si="1"/>
        <v>0.26014068441329191</v>
      </c>
      <c r="H33" s="310">
        <f t="shared" si="1"/>
        <v>2.9634061376971534E-2</v>
      </c>
      <c r="I33" s="302">
        <f t="shared" si="1"/>
        <v>0.3199479392768389</v>
      </c>
      <c r="J33" s="303">
        <f t="shared" si="1"/>
        <v>0.35005768029498258</v>
      </c>
      <c r="K33" s="304">
        <f t="shared" si="1"/>
        <v>0.11256910764403748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gwX1VOckFxgy+DvMtXFbpTzstPGiUfyjPzRODGzGSDJWyoD3hzPE7i9bw6VaCgN/Zj2JC+P/RGcbucJXs7c9w==" saltValue="TNE/bwqgOmX5wvwo42zCs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